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4" sheetId="75" r:id="rId57"/>
    <sheet name="331" sheetId="30" r:id="rId58"/>
    <sheet name="315" sheetId="69" r:id="rId59"/>
    <sheet name="326" sheetId="77" r:id="rId60"/>
    <sheet name="332" sheetId="33" r:id="rId61"/>
    <sheet name="316" sheetId="70" r:id="rId62"/>
    <sheet name="Div 6" sheetId="51" r:id="rId63"/>
    <sheet name="317" sheetId="71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0" sheetId="87" r:id="rId83"/>
    <sheet name="423" sheetId="88" r:id="rId84"/>
    <sheet name="424" sheetId="89" r:id="rId85"/>
    <sheet name="425" sheetId="90" r:id="rId86"/>
    <sheet name="455" sheetId="96" r:id="rId87"/>
    <sheet name="492" sheetId="45" r:id="rId88"/>
    <sheet name="430" sheetId="91" r:id="rId89"/>
    <sheet name="433" sheetId="92" r:id="rId90"/>
    <sheet name="435" sheetId="93" r:id="rId91"/>
    <sheet name="444" sheetId="94" r:id="rId92"/>
    <sheet name="450" sheetId="95" r:id="rId93"/>
    <sheet name="Div 5" sheetId="48" r:id="rId94"/>
    <sheet name="501" sheetId="97" r:id="rId95"/>
    <sheet name="Dept" sheetId="98" state="hidden" r:id="rId96"/>
    <sheet name="OSR_Dept_Y0WUKY" sheetId="99" state="hidden" r:id="rId97"/>
    <sheet name="OSR_Summary (...56e5d78f_5JEYZH" sheetId="100" state="hidden" r:id="rId98"/>
  </sheets>
  <definedNames>
    <definedName name="OSRRefD13x_0" localSheetId="41">'201'!$D$13</definedName>
    <definedName name="OSRRefD13x_0" localSheetId="42">'202'!$D$13</definedName>
    <definedName name="OSRRefD13x_0" localSheetId="48">'300'!$D$13:$D$77</definedName>
    <definedName name="OSRRefD13x_0" localSheetId="49">'300 &amp; 317'!$D$13:$D$92</definedName>
    <definedName name="OSRRefD13x_0" localSheetId="53">'307'!$D$13:$D$23</definedName>
    <definedName name="OSRRefD13x_0" localSheetId="54">'308'!$D$13:$D$35</definedName>
    <definedName name="OSRRefD13x_0" localSheetId="65">'309'!$D$13</definedName>
    <definedName name="OSRRefD13x_0" localSheetId="64">'310'!$D$13:$D$20</definedName>
    <definedName name="OSRRefD13x_0" localSheetId="72">'310 &amp; 491'!$D$13:$D$25</definedName>
    <definedName name="OSRRefD13x_0" localSheetId="55">'311'!$D$13:$D$34</definedName>
    <definedName name="OSRRefD13x_0" localSheetId="66">'313'!$D$13:$D$17</definedName>
    <definedName name="OSRRefD13x_0" localSheetId="58">'315'!$D$13:$D$50</definedName>
    <definedName name="OSRRefD13x_0" localSheetId="61">'316'!$D$13:$D$24</definedName>
    <definedName name="OSRRefD13x_0" localSheetId="63">'317'!$D$13:$D$31</definedName>
    <definedName name="OSRRefD13x_0" localSheetId="67">'321'!$D$13:$D$15</definedName>
    <definedName name="OSRRefD13x_0" localSheetId="68">'322'!$D$13</definedName>
    <definedName name="OSRRefD13x_0" localSheetId="56">'324'!$D$13:$D$16</definedName>
    <definedName name="OSRRefD13x_0" localSheetId="69">'325'!$D$13:$D$14</definedName>
    <definedName name="OSRRefD13x_0" localSheetId="59">'326'!$D$13:$D$33</definedName>
    <definedName name="OSRRefD13x_0" localSheetId="70">'327'!$D$13:$D$14</definedName>
    <definedName name="OSRRefD13x_0" localSheetId="52">'330'!$D$13:$D$26</definedName>
    <definedName name="OSRRefD13x_0" localSheetId="57">'331'!$D$13:$D$50</definedName>
    <definedName name="OSRRefD13x_0" localSheetId="60">'332'!$D$13:$D$24</definedName>
    <definedName name="OSRRefD13x_0" localSheetId="74">'405'!$D$13:$D$14</definedName>
    <definedName name="OSRRefD13x_0" localSheetId="77">'412'!$D$13</definedName>
    <definedName name="OSRRefD13x_0" localSheetId="78">'413'!$D$13:$D$14</definedName>
    <definedName name="OSRRefD13x_0" localSheetId="79">'414'!$D$13:$D$15</definedName>
    <definedName name="OSRRefD13x_0" localSheetId="80">'415'!$D$13:$D$16</definedName>
    <definedName name="OSRRefD13x_0" localSheetId="81">'418'!$D$13:$D$14</definedName>
    <definedName name="OSRRefD13x_0" localSheetId="82">'420'!$D$13:$D$14</definedName>
    <definedName name="OSRRefD13x_0" localSheetId="89">'433'!$D$13:$D$16</definedName>
    <definedName name="OSRRefD13x_0" localSheetId="91">'444'!$D$13:$D$16</definedName>
    <definedName name="OSRRefD13x_0" localSheetId="92">'450'!$D$13:$D$14</definedName>
    <definedName name="OSRRefD13x_0" localSheetId="73">'491'!$D$13:$D$19</definedName>
    <definedName name="OSRRefD13x_0" localSheetId="87">'492'!$D$13:$D$16</definedName>
    <definedName name="OSRRefD13x_0" localSheetId="94">'501'!$D$13</definedName>
    <definedName name="OSRRefD13x_0" localSheetId="39">'Div 2'!$D$13</definedName>
    <definedName name="OSRRefD13x_0" localSheetId="47">'Div 3'!$D$13:$D$79</definedName>
    <definedName name="OSRRefD13x_0" localSheetId="71">'Div 4'!$D$13:$D$21</definedName>
    <definedName name="OSRRefD13x_0" localSheetId="93">'Div 5'!$D$13</definedName>
    <definedName name="OSRRefD13x_0" localSheetId="62">'Div 6'!$D$13:$D$31</definedName>
    <definedName name="OSRRefD13x_0" localSheetId="2">Summary!$D$13:$D$100</definedName>
    <definedName name="OSRRefD16x_0" localSheetId="48">'300'!$D$80:$D$118</definedName>
    <definedName name="OSRRefD16x_0" localSheetId="49">'300 &amp; 317'!$D$95:$D$142</definedName>
    <definedName name="OSRRefD16x_0" localSheetId="50">'301'!$D$15</definedName>
    <definedName name="OSRRefD16x_0" localSheetId="53">'307'!$D$26:$D$33</definedName>
    <definedName name="OSRRefD16x_0" localSheetId="54">'308'!$D$38:$D$53</definedName>
    <definedName name="OSRRefD16x_0" localSheetId="65">'309'!$D$16</definedName>
    <definedName name="OSRRefD16x_0" localSheetId="64">'310'!$D$23:$D$25</definedName>
    <definedName name="OSRRefD16x_0" localSheetId="72">'310 &amp; 491'!$D$28:$D$30</definedName>
    <definedName name="OSRRefD16x_0" localSheetId="55">'311'!$D$37:$D$52</definedName>
    <definedName name="OSRRefD16x_0" localSheetId="66">'313'!$D$20:$D$21</definedName>
    <definedName name="OSRRefD16x_0" localSheetId="58">'315'!$D$53:$D$75</definedName>
    <definedName name="OSRRefD16x_0" localSheetId="63">'317'!$D$34:$D$47</definedName>
    <definedName name="OSRRefD16x_0" localSheetId="67">'321'!$D$18:$D$20</definedName>
    <definedName name="OSRRefD16x_0" localSheetId="68">'322'!$D$16:$D$17</definedName>
    <definedName name="OSRRefD16x_0" localSheetId="56">'324'!$D$19:$D$21</definedName>
    <definedName name="OSRRefD16x_0" localSheetId="69">'325'!$D$17:$D$19</definedName>
    <definedName name="OSRRefD16x_0" localSheetId="59">'326'!$D$36:$D$42</definedName>
    <definedName name="OSRRefD16x_0" localSheetId="70">'327'!$D$17:$D$18</definedName>
    <definedName name="OSRRefD16x_0" localSheetId="52">'330'!$D$29:$D$36</definedName>
    <definedName name="OSRRefD16x_0" localSheetId="57">'331'!$D$53:$D$76</definedName>
    <definedName name="OSRRefD16x_0" localSheetId="60">'332'!$D$27:$D$28</definedName>
    <definedName name="OSRRefD16x_0" localSheetId="74">'405'!$D$17:$D$18</definedName>
    <definedName name="OSRRefD16x_0" localSheetId="77">'412'!$D$16</definedName>
    <definedName name="OSRRefD16x_0" localSheetId="78">'413'!$D$17</definedName>
    <definedName name="OSRRefD16x_0" localSheetId="79">'414'!$D$18:$D$19</definedName>
    <definedName name="OSRRefD16x_0" localSheetId="80">'415'!$D$19:$D$21</definedName>
    <definedName name="OSRRefD16x_0" localSheetId="81">'418'!$D$17:$D$18</definedName>
    <definedName name="OSRRefD16x_0" localSheetId="85">'425'!$D$15</definedName>
    <definedName name="OSRRefD16x_0" localSheetId="89">'433'!$D$19:$D$21</definedName>
    <definedName name="OSRRefD16x_0" localSheetId="91">'444'!$D$19:$D$21</definedName>
    <definedName name="OSRRefD16x_0" localSheetId="92">'450'!$D$17</definedName>
    <definedName name="OSRRefD16x_0" localSheetId="73">'491'!$D$22:$D$24</definedName>
    <definedName name="OSRRefD16x_0" localSheetId="87">'492'!$D$19:$D$21</definedName>
    <definedName name="OSRRefD16x_0" localSheetId="47">'Div 3'!$D$82:$D$122</definedName>
    <definedName name="OSRRefD16x_0" localSheetId="71">'Div 4'!$D$24:$D$26</definedName>
    <definedName name="OSRRefD16x_0" localSheetId="62">'Div 6'!$D$34:$D$47</definedName>
    <definedName name="OSRRefD16x_0" localSheetId="2">Summary!$D$103:$D$152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'300'!$D$124:$D$133</definedName>
    <definedName name="OSRRefD22_0x_0" localSheetId="49">'300 &amp; 317'!$D$148:$D$157</definedName>
    <definedName name="OSRRefD22_0x_0" localSheetId="50">'301'!$D$21:$D$30</definedName>
    <definedName name="OSRRefD22_0x_0" localSheetId="51">'306'!$D$20:$D$28</definedName>
    <definedName name="OSRRefD22_0x_0" localSheetId="53">'307'!$D$39:$D$46</definedName>
    <definedName name="OSRRefD22_0x_0" localSheetId="54">'308'!$D$59:$D$68</definedName>
    <definedName name="OSRRefD22_0x_0" localSheetId="65">'309'!$D$22:$D$29</definedName>
    <definedName name="OSRRefD22_0x_0" localSheetId="64">'310'!$D$31:$D$39</definedName>
    <definedName name="OSRRefD22_0x_0" localSheetId="72">'310 &amp; 491'!$D$36:$D$44</definedName>
    <definedName name="OSRRefD22_0x_0" localSheetId="55">'311'!$D$58:$D$67</definedName>
    <definedName name="OSRRefD22_0x_0" localSheetId="66">'313'!$D$27:$D$35</definedName>
    <definedName name="OSRRefD22_0x_0" localSheetId="58">'315'!$D$81:$D$89</definedName>
    <definedName name="OSRRefD22_0x_0" localSheetId="61">'316'!$D$32:$D$40</definedName>
    <definedName name="OSRRefD22_0x_0" localSheetId="63">'317'!$D$53:$D$62</definedName>
    <definedName name="OSRRefD22_0x_0" localSheetId="67">'321'!$D$26:$D$34</definedName>
    <definedName name="OSRRefD22_0x_0" localSheetId="68">'322'!$D$23:$D$30</definedName>
    <definedName name="OSRRefD22_0x_0" localSheetId="56">'324'!$D$27:$D$34</definedName>
    <definedName name="OSRRefD22_0x_0" localSheetId="69">'325'!$D$25:$D$32</definedName>
    <definedName name="OSRRefD22_0x_0" localSheetId="59">'326'!$D$48:$D$56</definedName>
    <definedName name="OSRRefD22_0x_0" localSheetId="70">'327'!$D$24</definedName>
    <definedName name="OSRRefD22_0x_0" localSheetId="52">'330'!$D$42:$D$50</definedName>
    <definedName name="OSRRefD22_0x_0" localSheetId="57">'331'!$D$82:$D$90</definedName>
    <definedName name="OSRRefD22_0x_0" localSheetId="60">'332'!$D$34:$D$42</definedName>
    <definedName name="OSRRefD22_0x_0" localSheetId="74">'405'!$D$24:$D$31</definedName>
    <definedName name="OSRRefD22_0x_0" localSheetId="75">'406'!$D$20</definedName>
    <definedName name="OSRRefD22_0x_0" localSheetId="76">'411'!$D$20:$D$28</definedName>
    <definedName name="OSRRefD22_0x_0" localSheetId="77">'412'!$D$22:$D$29</definedName>
    <definedName name="OSRRefD22_0x_0" localSheetId="78">'413'!$D$23:$D$31</definedName>
    <definedName name="OSRRefD22_0x_0" localSheetId="79">'414'!$D$25:$D$33</definedName>
    <definedName name="OSRRefD22_0x_0" localSheetId="80">'415'!$D$27:$D$35</definedName>
    <definedName name="OSRRefD22_0x_0" localSheetId="81">'418'!$D$24:$D$31</definedName>
    <definedName name="OSRRefD22_0x_0" localSheetId="82">'420'!$D$22</definedName>
    <definedName name="OSRRefD22_0x_0" localSheetId="83">'423'!$D$20:$D$27</definedName>
    <definedName name="OSRRefD22_0x_0" localSheetId="84">'424'!$D$20</definedName>
    <definedName name="OSRRefD22_0x_0" localSheetId="85">'425'!$D$21:$D$25</definedName>
    <definedName name="OSRRefD22_0x_0" localSheetId="88">'430'!$D$20:$D$28</definedName>
    <definedName name="OSRRefD22_0x_0" localSheetId="89">'433'!$D$27:$D$36</definedName>
    <definedName name="OSRRefD22_0x_0" localSheetId="90">'435'!$D$20</definedName>
    <definedName name="OSRRefD22_0x_0" localSheetId="91">'444'!$D$27:$D$36</definedName>
    <definedName name="OSRRefD22_0x_0" localSheetId="92">'450'!$D$23:$D$32</definedName>
    <definedName name="OSRRefD22_0x_0" localSheetId="73">'491'!$D$30:$D$38</definedName>
    <definedName name="OSRRefD22_0x_0" localSheetId="87">'492'!$D$27:$D$36</definedName>
    <definedName name="OSRRefD22_0x_0" localSheetId="94">'501'!$D$21:$D$30</definedName>
    <definedName name="OSRRefD22_0x_0" localSheetId="39">'Div 2'!$D$21:$D$31</definedName>
    <definedName name="OSRRefD22_0x_0" localSheetId="47">'Div 3'!$D$128:$D$137</definedName>
    <definedName name="OSRRefD22_0x_0" localSheetId="71">'Div 4'!$D$32:$D$41</definedName>
    <definedName name="OSRRefD22_0x_0" localSheetId="93">'Div 5'!$D$21:$D$30</definedName>
    <definedName name="OSRRefD22_0x_0" localSheetId="62">'Div 6'!$D$53:$D$62</definedName>
    <definedName name="OSRRefD22_0x_0" localSheetId="2">Summary!$D$158:$D$167</definedName>
    <definedName name="OSRRefD22_10x_0" localSheetId="41">'201'!$D$59:$D$61</definedName>
    <definedName name="OSRRefD22_10x_0" localSheetId="42">'202'!$D$63</definedName>
    <definedName name="OSRRefD22_10x_0" localSheetId="43">'203'!$D$62</definedName>
    <definedName name="OSRRefD22_10x_0" localSheetId="44">'204'!$D$62:$D$63</definedName>
    <definedName name="OSRRefD22_10x_0" localSheetId="48">'300'!$D$166:$D$167</definedName>
    <definedName name="OSRRefD22_10x_0" localSheetId="49">'300 &amp; 317'!$D$190:$D$191</definedName>
    <definedName name="OSRRefD22_10x_0" localSheetId="50">'301'!$D$61</definedName>
    <definedName name="OSRRefD22_10x_0" localSheetId="51">'306'!$D$59</definedName>
    <definedName name="OSRRefD22_10x_0" localSheetId="53">'307'!$D$77:$D$78</definedName>
    <definedName name="OSRRefD22_10x_0" localSheetId="54">'308'!$D$101:$D$102</definedName>
    <definedName name="OSRRefD22_10x_0" localSheetId="65">'309'!$D$62</definedName>
    <definedName name="OSRRefD22_10x_0" localSheetId="64">'310'!$D$69</definedName>
    <definedName name="OSRRefD22_10x_0" localSheetId="72">'310 &amp; 491'!$D$76</definedName>
    <definedName name="OSRRefD22_10x_0" localSheetId="55">'311'!$D$100:$D$101</definedName>
    <definedName name="OSRRefD22_10x_0" localSheetId="66">'313'!$D$68</definedName>
    <definedName name="OSRRefD22_10x_0" localSheetId="58">'315'!$D$121</definedName>
    <definedName name="OSRRefD22_10x_0" localSheetId="61">'316'!$D$76</definedName>
    <definedName name="OSRRefD22_10x_0" localSheetId="63">'317'!$D$93</definedName>
    <definedName name="OSRRefD22_10x_0" localSheetId="67">'321'!$D$66:$D$68</definedName>
    <definedName name="OSRRefD22_10x_0" localSheetId="68">'322'!$D$64</definedName>
    <definedName name="OSRRefD22_10x_0" localSheetId="69">'325'!$D$62</definedName>
    <definedName name="OSRRefD22_10x_0" localSheetId="59">'326'!$D$86</definedName>
    <definedName name="OSRRefD22_10x_0" localSheetId="52">'330'!$D$81:$D$82</definedName>
    <definedName name="OSRRefD22_10x_0" localSheetId="57">'331'!$D$122</definedName>
    <definedName name="OSRRefD22_10x_0" localSheetId="60">'332'!$D$78</definedName>
    <definedName name="OSRRefD22_10x_0" localSheetId="74">'405'!$D$62</definedName>
    <definedName name="OSRRefD22_10x_0" localSheetId="76">'411'!$D$61:$D$64</definedName>
    <definedName name="OSRRefD22_10x_0" localSheetId="77">'412'!$D$60:$D$63</definedName>
    <definedName name="OSRRefD22_10x_0" localSheetId="78">'413'!$D$64:$D$71</definedName>
    <definedName name="OSRRefD22_10x_0" localSheetId="79">'414'!$D$63</definedName>
    <definedName name="OSRRefD22_10x_0" localSheetId="80">'415'!$D$65</definedName>
    <definedName name="OSRRefD22_10x_0" localSheetId="81">'418'!$D$64:$D$65</definedName>
    <definedName name="OSRRefD22_10x_0" localSheetId="89">'433'!$D$65</definedName>
    <definedName name="OSRRefD22_10x_0" localSheetId="91">'444'!$D$65</definedName>
    <definedName name="OSRRefD22_10x_0" localSheetId="92">'450'!$D$61</definedName>
    <definedName name="OSRRefD22_10x_0" localSheetId="73">'491'!$D$69</definedName>
    <definedName name="OSRRefD22_10x_0" localSheetId="87">'492'!$D$65</definedName>
    <definedName name="OSRRefD22_10x_0" localSheetId="94">'501'!$D$63</definedName>
    <definedName name="OSRRefD22_10x_0" localSheetId="39">'Div 2'!$D$63</definedName>
    <definedName name="OSRRefD22_10x_0" localSheetId="47">'Div 3'!$D$170:$D$171</definedName>
    <definedName name="OSRRefD22_10x_0" localSheetId="71">'Div 4'!$D$72</definedName>
    <definedName name="OSRRefD22_10x_0" localSheetId="93">'Div 5'!$D$63</definedName>
    <definedName name="OSRRefD22_10x_0" localSheetId="62">'Div 6'!$D$93</definedName>
    <definedName name="OSRRefD22_10x_0" localSheetId="2">Summary!$D$201:$D$202</definedName>
    <definedName name="OSRRefD22_11x_0" localSheetId="41">'201'!$D$63:$D$64</definedName>
    <definedName name="OSRRefD22_11x_0" localSheetId="42">'202'!$D$65</definedName>
    <definedName name="OSRRefD22_11x_0" localSheetId="43">'203'!$D$64:$D$66</definedName>
    <definedName name="OSRRefD22_11x_0" localSheetId="44">'204'!$D$65</definedName>
    <definedName name="OSRRefD22_11x_0" localSheetId="48">'300'!$D$169:$D$171</definedName>
    <definedName name="OSRRefD22_11x_0" localSheetId="49">'300 &amp; 317'!$D$193:$D$195</definedName>
    <definedName name="OSRRefD22_11x_0" localSheetId="50">'301'!$D$63</definedName>
    <definedName name="OSRRefD22_11x_0" localSheetId="53">'307'!$D$80:$D$83</definedName>
    <definedName name="OSRRefD22_11x_0" localSheetId="54">'308'!$D$104:$D$106</definedName>
    <definedName name="OSRRefD22_11x_0" localSheetId="64">'310'!$D$71</definedName>
    <definedName name="OSRRefD22_11x_0" localSheetId="72">'310 &amp; 491'!$D$78</definedName>
    <definedName name="OSRRefD22_11x_0" localSheetId="55">'311'!$D$103:$D$105</definedName>
    <definedName name="OSRRefD22_11x_0" localSheetId="66">'313'!$D$70</definedName>
    <definedName name="OSRRefD22_11x_0" localSheetId="58">'315'!$D$123</definedName>
    <definedName name="OSRRefD22_11x_0" localSheetId="61">'316'!$D$78</definedName>
    <definedName name="OSRRefD22_11x_0" localSheetId="63">'317'!$D$95:$D$98</definedName>
    <definedName name="OSRRefD22_11x_0" localSheetId="67">'321'!$D$70:$D$71</definedName>
    <definedName name="OSRRefD22_11x_0" localSheetId="68">'322'!$D$66</definedName>
    <definedName name="OSRRefD22_11x_0" localSheetId="69">'325'!$D$64:$D$67</definedName>
    <definedName name="OSRRefD22_11x_0" localSheetId="59">'326'!$D$88</definedName>
    <definedName name="OSRRefD22_11x_0" localSheetId="52">'330'!$D$84:$D$87</definedName>
    <definedName name="OSRRefD22_11x_0" localSheetId="57">'331'!$D$124:$D$125</definedName>
    <definedName name="OSRRefD22_11x_0" localSheetId="60">'332'!$D$80</definedName>
    <definedName name="OSRRefD22_11x_0" localSheetId="74">'405'!$D$64:$D$67</definedName>
    <definedName name="OSRRefD22_11x_0" localSheetId="76">'411'!$D$66:$D$67</definedName>
    <definedName name="OSRRefD22_11x_0" localSheetId="77">'412'!$D$65:$D$69</definedName>
    <definedName name="OSRRefD22_11x_0" localSheetId="78">'413'!$D$73:$D$74</definedName>
    <definedName name="OSRRefD22_11x_0" localSheetId="79">'414'!$D$65</definedName>
    <definedName name="OSRRefD22_11x_0" localSheetId="80">'415'!$D$67:$D$68</definedName>
    <definedName name="OSRRefD22_11x_0" localSheetId="81">'418'!$D$67:$D$76</definedName>
    <definedName name="OSRRefD22_11x_0" localSheetId="89">'433'!$D$67:$D$69</definedName>
    <definedName name="OSRRefD22_11x_0" localSheetId="91">'444'!$D$67:$D$70</definedName>
    <definedName name="OSRRefD22_11x_0" localSheetId="92">'450'!$D$63</definedName>
    <definedName name="OSRRefD22_11x_0" localSheetId="73">'491'!$D$71</definedName>
    <definedName name="OSRRefD22_11x_0" localSheetId="87">'492'!$D$67</definedName>
    <definedName name="OSRRefD22_11x_0" localSheetId="94">'501'!$D$65:$D$66</definedName>
    <definedName name="OSRRefD22_11x_0" localSheetId="39">'Div 2'!$D$65:$D$66</definedName>
    <definedName name="OSRRefD22_11x_0" localSheetId="47">'Div 3'!$D$173:$D$175</definedName>
    <definedName name="OSRRefD22_11x_0" localSheetId="71">'Div 4'!$D$74</definedName>
    <definedName name="OSRRefD22_11x_0" localSheetId="93">'Div 5'!$D$65:$D$66</definedName>
    <definedName name="OSRRefD22_11x_0" localSheetId="62">'Div 6'!$D$95:$D$98</definedName>
    <definedName name="OSRRefD22_11x_0" localSheetId="2">Summary!$D$204:$D$206</definedName>
    <definedName name="OSRRefD22_12x_0" localSheetId="41">'201'!$D$66</definedName>
    <definedName name="OSRRefD22_12x_0" localSheetId="42">'202'!$D$67</definedName>
    <definedName name="OSRRefD22_12x_0" localSheetId="43">'203'!$D$68</definedName>
    <definedName name="OSRRefD22_12x_0" localSheetId="44">'204'!$D$67</definedName>
    <definedName name="OSRRefD22_12x_0" localSheetId="48">'300'!$D$173</definedName>
    <definedName name="OSRRefD22_12x_0" localSheetId="49">'300 &amp; 317'!$D$197</definedName>
    <definedName name="OSRRefD22_12x_0" localSheetId="50">'301'!$D$65</definedName>
    <definedName name="OSRRefD22_12x_0" localSheetId="53">'307'!$D$85:$D$86</definedName>
    <definedName name="OSRRefD22_12x_0" localSheetId="54">'308'!$D$108:$D$109</definedName>
    <definedName name="OSRRefD22_12x_0" localSheetId="64">'310'!$D$73</definedName>
    <definedName name="OSRRefD22_12x_0" localSheetId="72">'310 &amp; 491'!$D$80</definedName>
    <definedName name="OSRRefD22_12x_0" localSheetId="55">'311'!$D$107:$D$108</definedName>
    <definedName name="OSRRefD22_12x_0" localSheetId="58">'315'!$D$125:$D$127</definedName>
    <definedName name="OSRRefD22_12x_0" localSheetId="63">'317'!$D$100</definedName>
    <definedName name="OSRRefD22_12x_0" localSheetId="67">'321'!$D$73</definedName>
    <definedName name="OSRRefD22_12x_0" localSheetId="69">'325'!$D$69:$D$71</definedName>
    <definedName name="OSRRefD22_12x_0" localSheetId="59">'326'!$D$90</definedName>
    <definedName name="OSRRefD22_12x_0" localSheetId="52">'330'!$D$89:$D$90</definedName>
    <definedName name="OSRRefD22_12x_0" localSheetId="57">'331'!$D$127</definedName>
    <definedName name="OSRRefD22_12x_0" localSheetId="74">'405'!$D$69</definedName>
    <definedName name="OSRRefD22_12x_0" localSheetId="76">'411'!$D$69:$D$75</definedName>
    <definedName name="OSRRefD22_12x_0" localSheetId="77">'412'!$D$71:$D$72</definedName>
    <definedName name="OSRRefD22_12x_0" localSheetId="78">'413'!$D$76</definedName>
    <definedName name="OSRRefD22_12x_0" localSheetId="79">'414'!$D$67:$D$69</definedName>
    <definedName name="OSRRefD22_12x_0" localSheetId="80">'415'!$D$70:$D$74</definedName>
    <definedName name="OSRRefD22_12x_0" localSheetId="81">'418'!$D$78:$D$79</definedName>
    <definedName name="OSRRefD22_12x_0" localSheetId="89">'433'!$D$71:$D$74</definedName>
    <definedName name="OSRRefD22_12x_0" localSheetId="91">'444'!$D$72:$D$75</definedName>
    <definedName name="OSRRefD22_12x_0" localSheetId="92">'450'!$D$65</definedName>
    <definedName name="OSRRefD22_12x_0" localSheetId="73">'491'!$D$73</definedName>
    <definedName name="OSRRefD22_12x_0" localSheetId="87">'492'!$D$69:$D$72</definedName>
    <definedName name="OSRRefD22_12x_0" localSheetId="94">'501'!$D$68</definedName>
    <definedName name="OSRRefD22_12x_0" localSheetId="39">'Div 2'!$D$68:$D$71</definedName>
    <definedName name="OSRRefD22_12x_0" localSheetId="47">'Div 3'!$D$177</definedName>
    <definedName name="OSRRefD22_12x_0" localSheetId="71">'Div 4'!$D$76</definedName>
    <definedName name="OSRRefD22_12x_0" localSheetId="93">'Div 5'!$D$68</definedName>
    <definedName name="OSRRefD22_12x_0" localSheetId="62">'Div 6'!$D$100</definedName>
    <definedName name="OSRRefD22_12x_0" localSheetId="2">Summary!$D$208</definedName>
    <definedName name="OSRRefD22_13x_0" localSheetId="41">'201'!$D$68:$D$70</definedName>
    <definedName name="OSRRefD22_13x_0" localSheetId="43">'203'!$D$70</definedName>
    <definedName name="OSRRefD22_13x_0" localSheetId="48">'300'!$D$175:$D$176</definedName>
    <definedName name="OSRRefD22_13x_0" localSheetId="49">'300 &amp; 317'!$D$199:$D$200</definedName>
    <definedName name="OSRRefD22_13x_0" localSheetId="50">'301'!$D$67</definedName>
    <definedName name="OSRRefD22_13x_0" localSheetId="53">'307'!$D$88</definedName>
    <definedName name="OSRRefD22_13x_0" localSheetId="54">'308'!$D$111</definedName>
    <definedName name="OSRRefD22_13x_0" localSheetId="64">'310'!$D$75:$D$78</definedName>
    <definedName name="OSRRefD22_13x_0" localSheetId="72">'310 &amp; 491'!$D$82:$D$85</definedName>
    <definedName name="OSRRefD22_13x_0" localSheetId="55">'311'!$D$110</definedName>
    <definedName name="OSRRefD22_13x_0" localSheetId="58">'315'!$D$129:$D$130</definedName>
    <definedName name="OSRRefD22_13x_0" localSheetId="63">'317'!$D$102</definedName>
    <definedName name="OSRRefD22_13x_0" localSheetId="67">'321'!$D$75</definedName>
    <definedName name="OSRRefD22_13x_0" localSheetId="69">'325'!$D$73</definedName>
    <definedName name="OSRRefD22_13x_0" localSheetId="59">'326'!$D$92:$D$94</definedName>
    <definedName name="OSRRefD22_13x_0" localSheetId="52">'330'!$D$92</definedName>
    <definedName name="OSRRefD22_13x_0" localSheetId="57">'331'!$D$129</definedName>
    <definedName name="OSRRefD22_13x_0" localSheetId="74">'405'!$D$71:$D$79</definedName>
    <definedName name="OSRRefD22_13x_0" localSheetId="76">'411'!$D$77</definedName>
    <definedName name="OSRRefD22_13x_0" localSheetId="77">'412'!$D$74</definedName>
    <definedName name="OSRRefD22_13x_0" localSheetId="79">'414'!$D$71</definedName>
    <definedName name="OSRRefD22_13x_0" localSheetId="80">'415'!$D$76</definedName>
    <definedName name="OSRRefD22_13x_0" localSheetId="81">'418'!$D$81</definedName>
    <definedName name="OSRRefD22_13x_0" localSheetId="89">'433'!$D$76:$D$83</definedName>
    <definedName name="OSRRefD22_13x_0" localSheetId="91">'444'!$D$77</definedName>
    <definedName name="OSRRefD22_13x_0" localSheetId="92">'450'!$D$67:$D$69</definedName>
    <definedName name="OSRRefD22_13x_0" localSheetId="73">'491'!$D$75:$D$78</definedName>
    <definedName name="OSRRefD22_13x_0" localSheetId="87">'492'!$D$74:$D$77</definedName>
    <definedName name="OSRRefD22_13x_0" localSheetId="94">'501'!$D$70</definedName>
    <definedName name="OSRRefD22_13x_0" localSheetId="39">'Div 2'!$D$73:$D$76</definedName>
    <definedName name="OSRRefD22_13x_0" localSheetId="47">'Div 3'!$D$179</definedName>
    <definedName name="OSRRefD22_13x_0" localSheetId="71">'Div 4'!$D$78</definedName>
    <definedName name="OSRRefD22_13x_0" localSheetId="93">'Div 5'!$D$70</definedName>
    <definedName name="OSRRefD22_13x_0" localSheetId="62">'Div 6'!$D$102</definedName>
    <definedName name="OSRRefD22_13x_0" localSheetId="2">Summary!$D$210</definedName>
    <definedName name="OSRRefD22_14x_0" localSheetId="41">'201'!$D$72</definedName>
    <definedName name="OSRRefD22_14x_0" localSheetId="43">'203'!$D$72</definedName>
    <definedName name="OSRRefD22_14x_0" localSheetId="48">'300'!$D$178</definedName>
    <definedName name="OSRRefD22_14x_0" localSheetId="49">'300 &amp; 317'!$D$202</definedName>
    <definedName name="OSRRefD22_14x_0" localSheetId="50">'301'!$D$69</definedName>
    <definedName name="OSRRefD22_14x_0" localSheetId="54">'308'!$D$113</definedName>
    <definedName name="OSRRefD22_14x_0" localSheetId="64">'310'!$D$80:$D$81</definedName>
    <definedName name="OSRRefD22_14x_0" localSheetId="72">'310 &amp; 491'!$D$87:$D$88</definedName>
    <definedName name="OSRRefD22_14x_0" localSheetId="55">'311'!$D$112</definedName>
    <definedName name="OSRRefD22_14x_0" localSheetId="58">'315'!$D$132:$D$138</definedName>
    <definedName name="OSRRefD22_14x_0" localSheetId="69">'325'!$D$75:$D$79</definedName>
    <definedName name="OSRRefD22_14x_0" localSheetId="59">'326'!$D$96:$D$98</definedName>
    <definedName name="OSRRefD22_14x_0" localSheetId="57">'331'!$D$131:$D$133</definedName>
    <definedName name="OSRRefD22_14x_0" localSheetId="74">'405'!$D$81</definedName>
    <definedName name="OSRRefD22_14x_0" localSheetId="76">'411'!$D$79</definedName>
    <definedName name="OSRRefD22_14x_0" localSheetId="79">'414'!$D$73</definedName>
    <definedName name="OSRRefD22_14x_0" localSheetId="80">'415'!$D$78:$D$85</definedName>
    <definedName name="OSRRefD22_14x_0" localSheetId="89">'433'!$D$85</definedName>
    <definedName name="OSRRefD22_14x_0" localSheetId="91">'444'!$D$79:$D$87</definedName>
    <definedName name="OSRRefD22_14x_0" localSheetId="92">'450'!$D$71:$D$77</definedName>
    <definedName name="OSRRefD22_14x_0" localSheetId="73">'491'!$D$80:$D$81</definedName>
    <definedName name="OSRRefD22_14x_0" localSheetId="87">'492'!$D$79</definedName>
    <definedName name="OSRRefD22_14x_0" localSheetId="39">'Div 2'!$D$78:$D$79</definedName>
    <definedName name="OSRRefD22_14x_0" localSheetId="47">'Div 3'!$D$181:$D$182</definedName>
    <definedName name="OSRRefD22_14x_0" localSheetId="71">'Div 4'!$D$80</definedName>
    <definedName name="OSRRefD22_14x_0" localSheetId="2">Summary!$D$212:$D$213</definedName>
    <definedName name="OSRRefD22_15x_0" localSheetId="41">'201'!$D$74</definedName>
    <definedName name="OSRRefD22_15x_0" localSheetId="48">'300'!$D$180</definedName>
    <definedName name="OSRRefD22_15x_0" localSheetId="49">'300 &amp; 317'!$D$204</definedName>
    <definedName name="OSRRefD22_15x_0" localSheetId="50">'301'!$D$71:$D$74</definedName>
    <definedName name="OSRRefD22_15x_0" localSheetId="64">'310'!$D$83:$D$86</definedName>
    <definedName name="OSRRefD22_15x_0" localSheetId="72">'310 &amp; 491'!$D$90:$D$94</definedName>
    <definedName name="OSRRefD22_15x_0" localSheetId="58">'315'!$D$140</definedName>
    <definedName name="OSRRefD22_15x_0" localSheetId="69">'325'!$D$81:$D$82</definedName>
    <definedName name="OSRRefD22_15x_0" localSheetId="59">'326'!$D$100:$D$101</definedName>
    <definedName name="OSRRefD22_15x_0" localSheetId="57">'331'!$D$135:$D$137</definedName>
    <definedName name="OSRRefD22_15x_0" localSheetId="74">'405'!$D$83</definedName>
    <definedName name="OSRRefD22_15x_0" localSheetId="76">'411'!$D$81</definedName>
    <definedName name="OSRRefD22_15x_0" localSheetId="79">'414'!$D$75</definedName>
    <definedName name="OSRRefD22_15x_0" localSheetId="80">'415'!$D$87:$D$88</definedName>
    <definedName name="OSRRefD22_15x_0" localSheetId="89">'433'!$D$87</definedName>
    <definedName name="OSRRefD22_15x_0" localSheetId="91">'444'!$D$89:$D$90</definedName>
    <definedName name="OSRRefD22_15x_0" localSheetId="92">'450'!$D$79:$D$80</definedName>
    <definedName name="OSRRefD22_15x_0" localSheetId="73">'491'!$D$83:$D$87</definedName>
    <definedName name="OSRRefD22_15x_0" localSheetId="87">'492'!$D$81:$D$90</definedName>
    <definedName name="OSRRefD22_15x_0" localSheetId="39">'Div 2'!$D$81:$D$82</definedName>
    <definedName name="OSRRefD22_15x_0" localSheetId="47">'Div 3'!$D$184</definedName>
    <definedName name="OSRRefD22_15x_0" localSheetId="71">'Div 4'!$D$82:$D$85</definedName>
    <definedName name="OSRRefD22_15x_0" localSheetId="2">Summary!$D$215</definedName>
    <definedName name="OSRRefD22_16x_0" localSheetId="41">'201'!$D$76</definedName>
    <definedName name="OSRRefD22_16x_0" localSheetId="48">'300'!$D$182:$D$185</definedName>
    <definedName name="OSRRefD22_16x_0" localSheetId="49">'300 &amp; 317'!$D$206:$D$209</definedName>
    <definedName name="OSRRefD22_16x_0" localSheetId="50">'301'!$D$76:$D$78</definedName>
    <definedName name="OSRRefD22_16x_0" localSheetId="64">'310'!$D$88</definedName>
    <definedName name="OSRRefD22_16x_0" localSheetId="72">'310 &amp; 491'!$D$96:$D$97</definedName>
    <definedName name="OSRRefD22_16x_0" localSheetId="58">'315'!$D$142</definedName>
    <definedName name="OSRRefD22_16x_0" localSheetId="69">'325'!$D$84</definedName>
    <definedName name="OSRRefD22_16x_0" localSheetId="59">'326'!$D$103:$D$108</definedName>
    <definedName name="OSRRefD22_16x_0" localSheetId="57">'331'!$D$139:$D$141</definedName>
    <definedName name="OSRRefD22_16x_0" localSheetId="74">'405'!$D$85</definedName>
    <definedName name="OSRRefD22_16x_0" localSheetId="80">'415'!$D$90</definedName>
    <definedName name="OSRRefD22_16x_0" localSheetId="91">'444'!$D$92</definedName>
    <definedName name="OSRRefD22_16x_0" localSheetId="92">'450'!$D$82</definedName>
    <definedName name="OSRRefD22_16x_0" localSheetId="73">'491'!$D$89:$D$90</definedName>
    <definedName name="OSRRefD22_16x_0" localSheetId="87">'492'!$D$92:$D$93</definedName>
    <definedName name="OSRRefD22_16x_0" localSheetId="39">'Div 2'!$D$84:$D$88</definedName>
    <definedName name="OSRRefD22_16x_0" localSheetId="47">'Div 3'!$D$186</definedName>
    <definedName name="OSRRefD22_16x_0" localSheetId="71">'Div 4'!$D$87:$D$88</definedName>
    <definedName name="OSRRefD22_16x_0" localSheetId="2">Summary!$D$217</definedName>
    <definedName name="OSRRefD22_17x_0" localSheetId="48">'300'!$D$187:$D$190</definedName>
    <definedName name="OSRRefD22_17x_0" localSheetId="49">'300 &amp; 317'!$D$211:$D$214</definedName>
    <definedName name="OSRRefD22_17x_0" localSheetId="50">'301'!$D$80</definedName>
    <definedName name="OSRRefD22_17x_0" localSheetId="64">'310'!$D$90:$D$96</definedName>
    <definedName name="OSRRefD22_17x_0" localSheetId="72">'310 &amp; 491'!$D$99:$D$109</definedName>
    <definedName name="OSRRefD22_17x_0" localSheetId="58">'315'!$D$144:$D$145</definedName>
    <definedName name="OSRRefD22_17x_0" localSheetId="69">'325'!$D$86</definedName>
    <definedName name="OSRRefD22_17x_0" localSheetId="59">'326'!$D$110:$D$111</definedName>
    <definedName name="OSRRefD22_17x_0" localSheetId="57">'331'!$D$143:$D$144</definedName>
    <definedName name="OSRRefD22_17x_0" localSheetId="74">'405'!$D$87</definedName>
    <definedName name="OSRRefD22_17x_0" localSheetId="80">'415'!$D$92:$D$93</definedName>
    <definedName name="OSRRefD22_17x_0" localSheetId="91">'444'!$D$94</definedName>
    <definedName name="OSRRefD22_17x_0" localSheetId="73">'491'!$D$92:$D$102</definedName>
    <definedName name="OSRRefD22_17x_0" localSheetId="87">'492'!$D$95</definedName>
    <definedName name="OSRRefD22_17x_0" localSheetId="39">'Div 2'!$D$90:$D$91</definedName>
    <definedName name="OSRRefD22_17x_0" localSheetId="47">'Div 3'!$D$188:$D$191</definedName>
    <definedName name="OSRRefD22_17x_0" localSheetId="71">'Div 4'!$D$90:$D$94</definedName>
    <definedName name="OSRRefD22_17x_0" localSheetId="2">Summary!$D$219</definedName>
    <definedName name="OSRRefD22_18x_0" localSheetId="48">'300'!$D$192:$D$195</definedName>
    <definedName name="OSRRefD22_18x_0" localSheetId="49">'300 &amp; 317'!$D$216:$D$219</definedName>
    <definedName name="OSRRefD22_18x_0" localSheetId="50">'301'!$D$82:$D$88</definedName>
    <definedName name="OSRRefD22_18x_0" localSheetId="64">'310'!$D$98:$D$99</definedName>
    <definedName name="OSRRefD22_18x_0" localSheetId="72">'310 &amp; 491'!$D$111:$D$112</definedName>
    <definedName name="OSRRefD22_18x_0" localSheetId="59">'326'!$D$113</definedName>
    <definedName name="OSRRefD22_18x_0" localSheetId="57">'331'!$D$146:$D$153</definedName>
    <definedName name="OSRRefD22_18x_0" localSheetId="80">'415'!$D$95</definedName>
    <definedName name="OSRRefD22_18x_0" localSheetId="73">'491'!$D$104:$D$105</definedName>
    <definedName name="OSRRefD22_18x_0" localSheetId="87">'492'!$D$97:$D$98</definedName>
    <definedName name="OSRRefD22_18x_0" localSheetId="39">'Div 2'!$D$93</definedName>
    <definedName name="OSRRefD22_18x_0" localSheetId="47">'Div 3'!$D$193:$D$196</definedName>
    <definedName name="OSRRefD22_18x_0" localSheetId="71">'Div 4'!$D$96:$D$97</definedName>
    <definedName name="OSRRefD22_18x_0" localSheetId="2">Summary!$D$221:$D$224</definedName>
    <definedName name="OSRRefD22_19x_0" localSheetId="48">'300'!$D$197:$D$198</definedName>
    <definedName name="OSRRefD22_19x_0" localSheetId="49">'300 &amp; 317'!$D$221:$D$222</definedName>
    <definedName name="OSRRefD22_19x_0" localSheetId="50">'301'!$D$90</definedName>
    <definedName name="OSRRefD22_19x_0" localSheetId="64">'310'!$D$101</definedName>
    <definedName name="OSRRefD22_19x_0" localSheetId="72">'310 &amp; 491'!$D$114</definedName>
    <definedName name="OSRRefD22_19x_0" localSheetId="59">'326'!$D$115:$D$116</definedName>
    <definedName name="OSRRefD22_19x_0" localSheetId="57">'331'!$D$155:$D$156</definedName>
    <definedName name="OSRRefD22_19x_0" localSheetId="73">'491'!$D$107</definedName>
    <definedName name="OSRRefD22_19x_0" localSheetId="39">'Div 2'!$D$95:$D$96</definedName>
    <definedName name="OSRRefD22_19x_0" localSheetId="47">'Div 3'!$D$198:$D$202</definedName>
    <definedName name="OSRRefD22_19x_0" localSheetId="71">'Div 4'!$D$99:$D$109</definedName>
    <definedName name="OSRRefD22_19x_0" localSheetId="2">Summary!$D$226:$D$229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'300'!$D$135:$D$144</definedName>
    <definedName name="OSRRefD22_1x_0" localSheetId="49">'300 &amp; 317'!$D$159:$D$168</definedName>
    <definedName name="OSRRefD22_1x_0" localSheetId="50">'301'!$D$32:$D$41</definedName>
    <definedName name="OSRRefD22_1x_0" localSheetId="51">'306'!$D$30:$D$39</definedName>
    <definedName name="OSRRefD22_1x_0" localSheetId="53">'307'!$D$48:$D$57</definedName>
    <definedName name="OSRRefD22_1x_0" localSheetId="54">'308'!$D$70:$D$79</definedName>
    <definedName name="OSRRefD22_1x_0" localSheetId="65">'309'!$D$31:$D$40</definedName>
    <definedName name="OSRRefD22_1x_0" localSheetId="64">'310'!$D$41:$D$50</definedName>
    <definedName name="OSRRefD22_1x_0" localSheetId="72">'310 &amp; 491'!$D$46:$D$55</definedName>
    <definedName name="OSRRefD22_1x_0" localSheetId="55">'311'!$D$69:$D$78</definedName>
    <definedName name="OSRRefD22_1x_0" localSheetId="66">'313'!$D$37:$D$46</definedName>
    <definedName name="OSRRefD22_1x_0" localSheetId="58">'315'!$D$91:$D$100</definedName>
    <definedName name="OSRRefD22_1x_0" localSheetId="61">'316'!$D$42:$D$51</definedName>
    <definedName name="OSRRefD22_1x_0" localSheetId="63">'317'!$D$64:$D$73</definedName>
    <definedName name="OSRRefD22_1x_0" localSheetId="67">'321'!$D$36:$D$45</definedName>
    <definedName name="OSRRefD22_1x_0" localSheetId="68">'322'!$D$32:$D$41</definedName>
    <definedName name="OSRRefD22_1x_0" localSheetId="56">'324'!$D$36:$D$45</definedName>
    <definedName name="OSRRefD22_1x_0" localSheetId="69">'325'!$D$34:$D$43</definedName>
    <definedName name="OSRRefD22_1x_0" localSheetId="59">'326'!$D$58:$D$67</definedName>
    <definedName name="OSRRefD22_1x_0" localSheetId="70">'327'!$D$26</definedName>
    <definedName name="OSRRefD22_1x_0" localSheetId="52">'330'!$D$52:$D$61</definedName>
    <definedName name="OSRRefD22_1x_0" localSheetId="57">'331'!$D$92:$D$101</definedName>
    <definedName name="OSRRefD22_1x_0" localSheetId="60">'332'!$D$44:$D$53</definedName>
    <definedName name="OSRRefD22_1x_0" localSheetId="74">'405'!$D$33:$D$42</definedName>
    <definedName name="OSRRefD22_1x_0" localSheetId="75">'406'!$D$22</definedName>
    <definedName name="OSRRefD22_1x_0" localSheetId="76">'411'!$D$30:$D$39</definedName>
    <definedName name="OSRRefD22_1x_0" localSheetId="77">'412'!$D$31:$D$40</definedName>
    <definedName name="OSRRefD22_1x_0" localSheetId="78">'413'!$D$33:$D$42</definedName>
    <definedName name="OSRRefD22_1x_0" localSheetId="79">'414'!$D$35:$D$44</definedName>
    <definedName name="OSRRefD22_1x_0" localSheetId="80">'415'!$D$37:$D$46</definedName>
    <definedName name="OSRRefD22_1x_0" localSheetId="81">'418'!$D$33:$D$42</definedName>
    <definedName name="OSRRefD22_1x_0" localSheetId="82">'420'!$D$24</definedName>
    <definedName name="OSRRefD22_1x_0" localSheetId="83">'423'!$D$29:$D$38</definedName>
    <definedName name="OSRRefD22_1x_0" localSheetId="84">'424'!$D$22</definedName>
    <definedName name="OSRRefD22_1x_0" localSheetId="85">'425'!$D$27</definedName>
    <definedName name="OSRRefD22_1x_0" localSheetId="88">'430'!$D$30:$D$39</definedName>
    <definedName name="OSRRefD22_1x_0" localSheetId="89">'433'!$D$38:$D$47</definedName>
    <definedName name="OSRRefD22_1x_0" localSheetId="91">'444'!$D$38:$D$47</definedName>
    <definedName name="OSRRefD22_1x_0" localSheetId="92">'450'!$D$34:$D$43</definedName>
    <definedName name="OSRRefD22_1x_0" localSheetId="73">'491'!$D$40:$D$49</definedName>
    <definedName name="OSRRefD22_1x_0" localSheetId="87">'492'!$D$38:$D$47</definedName>
    <definedName name="OSRRefD22_1x_0" localSheetId="94">'501'!$D$32:$D$41</definedName>
    <definedName name="OSRRefD22_1x_0" localSheetId="39">'Div 2'!$D$33:$D$42</definedName>
    <definedName name="OSRRefD22_1x_0" localSheetId="47">'Div 3'!$D$139:$D$148</definedName>
    <definedName name="OSRRefD22_1x_0" localSheetId="71">'Div 4'!$D$43:$D$52</definedName>
    <definedName name="OSRRefD22_1x_0" localSheetId="93">'Div 5'!$D$32:$D$41</definedName>
    <definedName name="OSRRefD22_1x_0" localSheetId="62">'Div 6'!$D$64:$D$73</definedName>
    <definedName name="OSRRefD22_1x_0" localSheetId="2">Summary!$D$169:$D$178</definedName>
    <definedName name="OSRRefD22_20x_0" localSheetId="48">'300'!$D$200:$D$208</definedName>
    <definedName name="OSRRefD22_20x_0" localSheetId="49">'300 &amp; 317'!$D$224:$D$232</definedName>
    <definedName name="OSRRefD22_20x_0" localSheetId="50">'301'!$D$92</definedName>
    <definedName name="OSRRefD22_20x_0" localSheetId="64">'310'!$D$103</definedName>
    <definedName name="OSRRefD22_20x_0" localSheetId="72">'310 &amp; 491'!$D$116:$D$118</definedName>
    <definedName name="OSRRefD22_20x_0" localSheetId="59">'326'!$D$118</definedName>
    <definedName name="OSRRefD22_20x_0" localSheetId="57">'331'!$D$158</definedName>
    <definedName name="OSRRefD22_20x_0" localSheetId="73">'491'!$D$109:$D$111</definedName>
    <definedName name="OSRRefD22_20x_0" localSheetId="47">'Div 3'!$D$204:$D$205</definedName>
    <definedName name="OSRRefD22_20x_0" localSheetId="71">'Div 4'!$D$111:$D$112</definedName>
    <definedName name="OSRRefD22_20x_0" localSheetId="2">Summary!$D$231:$D$235</definedName>
    <definedName name="OSRRefD22_21x_0" localSheetId="48">'300'!$D$210:$D$211</definedName>
    <definedName name="OSRRefD22_21x_0" localSheetId="49">'300 &amp; 317'!$D$234:$D$235</definedName>
    <definedName name="OSRRefD22_21x_0" localSheetId="50">'301'!$D$94:$D$95</definedName>
    <definedName name="OSRRefD22_21x_0" localSheetId="64">'310'!$D$105</definedName>
    <definedName name="OSRRefD22_21x_0" localSheetId="72">'310 &amp; 491'!$D$120</definedName>
    <definedName name="OSRRefD22_21x_0" localSheetId="57">'331'!$D$160:$D$161</definedName>
    <definedName name="OSRRefD22_21x_0" localSheetId="73">'491'!$D$113</definedName>
    <definedName name="OSRRefD22_21x_0" localSheetId="47">'Div 3'!$D$207:$D$215</definedName>
    <definedName name="OSRRefD22_21x_0" localSheetId="71">'Div 4'!$D$114</definedName>
    <definedName name="OSRRefD22_21x_0" localSheetId="2">Summary!$D$237:$D$238</definedName>
    <definedName name="OSRRefD22_22x_0" localSheetId="48">'300'!$D$213</definedName>
    <definedName name="OSRRefD22_22x_0" localSheetId="49">'300 &amp; 317'!$D$237</definedName>
    <definedName name="OSRRefD22_22x_0" localSheetId="50">'301'!$D$97</definedName>
    <definedName name="OSRRefD22_22x_0" localSheetId="57">'331'!$D$163</definedName>
    <definedName name="OSRRefD22_22x_0" localSheetId="47">'Div 3'!$D$217:$D$218</definedName>
    <definedName name="OSRRefD22_22x_0" localSheetId="71">'Div 4'!$D$116:$D$118</definedName>
    <definedName name="OSRRefD22_22x_0" localSheetId="2">Summary!$D$240:$D$250</definedName>
    <definedName name="OSRRefD22_23x_0" localSheetId="48">'300'!$D$215:$D$217</definedName>
    <definedName name="OSRRefD22_23x_0" localSheetId="49">'300 &amp; 317'!$D$239:$D$241</definedName>
    <definedName name="OSRRefD22_23x_0" localSheetId="47">'Div 3'!$D$220</definedName>
    <definedName name="OSRRefD22_23x_0" localSheetId="71">'Div 4'!$D$120</definedName>
    <definedName name="OSRRefD22_23x_0" localSheetId="2">Summary!$D$252:$D$253</definedName>
    <definedName name="OSRRefD22_24x_0" localSheetId="48">'300'!$D$219</definedName>
    <definedName name="OSRRefD22_24x_0" localSheetId="49">'300 &amp; 317'!$D$243</definedName>
    <definedName name="OSRRefD22_24x_0" localSheetId="47">'Div 3'!$D$222:$D$224</definedName>
    <definedName name="OSRRefD22_24x_0" localSheetId="2">Summary!$D$255</definedName>
    <definedName name="OSRRefD22_25x_0" localSheetId="47">'Div 3'!$D$226</definedName>
    <definedName name="OSRRefD22_25x_0" localSheetId="2">Summary!$D$257:$D$259</definedName>
    <definedName name="OSRRefD22_26x_0" localSheetId="2">Summary!$D$261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'300'!$D$146</definedName>
    <definedName name="OSRRefD22_2x_0" localSheetId="49">'300 &amp; 317'!$D$170</definedName>
    <definedName name="OSRRefD22_2x_0" localSheetId="50">'301'!$D$43</definedName>
    <definedName name="OSRRefD22_2x_0" localSheetId="51">'306'!$D$41</definedName>
    <definedName name="OSRRefD22_2x_0" localSheetId="53">'307'!$D$59</definedName>
    <definedName name="OSRRefD22_2x_0" localSheetId="54">'308'!$D$81</definedName>
    <definedName name="OSRRefD22_2x_0" localSheetId="65">'309'!$D$42</definedName>
    <definedName name="OSRRefD22_2x_0" localSheetId="64">'310'!$D$52</definedName>
    <definedName name="OSRRefD22_2x_0" localSheetId="72">'310 &amp; 491'!$D$57</definedName>
    <definedName name="OSRRefD22_2x_0" localSheetId="55">'311'!$D$80</definedName>
    <definedName name="OSRRefD22_2x_0" localSheetId="66">'313'!$D$48</definedName>
    <definedName name="OSRRefD22_2x_0" localSheetId="58">'315'!$D$102</definedName>
    <definedName name="OSRRefD22_2x_0" localSheetId="61">'316'!$D$53</definedName>
    <definedName name="OSRRefD22_2x_0" localSheetId="63">'317'!$D$75</definedName>
    <definedName name="OSRRefD22_2x_0" localSheetId="67">'321'!$D$47</definedName>
    <definedName name="OSRRefD22_2x_0" localSheetId="68">'322'!$D$43</definedName>
    <definedName name="OSRRefD22_2x_0" localSheetId="69">'325'!$D$45</definedName>
    <definedName name="OSRRefD22_2x_0" localSheetId="59">'326'!$D$69</definedName>
    <definedName name="OSRRefD22_2x_0" localSheetId="52">'330'!$D$63</definedName>
    <definedName name="OSRRefD22_2x_0" localSheetId="57">'331'!$D$103</definedName>
    <definedName name="OSRRefD22_2x_0" localSheetId="60">'332'!$D$55</definedName>
    <definedName name="OSRRefD22_2x_0" localSheetId="74">'405'!$D$44</definedName>
    <definedName name="OSRRefD22_2x_0" localSheetId="75">'406'!$D$24</definedName>
    <definedName name="OSRRefD22_2x_0" localSheetId="76">'411'!$D$41</definedName>
    <definedName name="OSRRefD22_2x_0" localSheetId="77">'412'!$D$42</definedName>
    <definedName name="OSRRefD22_2x_0" localSheetId="78">'413'!$D$44</definedName>
    <definedName name="OSRRefD22_2x_0" localSheetId="79">'414'!$D$46</definedName>
    <definedName name="OSRRefD22_2x_0" localSheetId="80">'415'!$D$48</definedName>
    <definedName name="OSRRefD22_2x_0" localSheetId="81">'418'!$D$44</definedName>
    <definedName name="OSRRefD22_2x_0" localSheetId="83">'423'!$D$40</definedName>
    <definedName name="OSRRefD22_2x_0" localSheetId="84">'424'!$D$24</definedName>
    <definedName name="OSRRefD22_2x_0" localSheetId="85">'425'!$D$29</definedName>
    <definedName name="OSRRefD22_2x_0" localSheetId="88">'430'!$D$41</definedName>
    <definedName name="OSRRefD22_2x_0" localSheetId="89">'433'!$D$49</definedName>
    <definedName name="OSRRefD22_2x_0" localSheetId="91">'444'!$D$49</definedName>
    <definedName name="OSRRefD22_2x_0" localSheetId="92">'450'!$D$45</definedName>
    <definedName name="OSRRefD22_2x_0" localSheetId="73">'491'!$D$51</definedName>
    <definedName name="OSRRefD22_2x_0" localSheetId="87">'492'!$D$49</definedName>
    <definedName name="OSRRefD22_2x_0" localSheetId="94">'501'!$D$43</definedName>
    <definedName name="OSRRefD22_2x_0" localSheetId="39">'Div 2'!$D$44</definedName>
    <definedName name="OSRRefD22_2x_0" localSheetId="47">'Div 3'!$D$150</definedName>
    <definedName name="OSRRefD22_2x_0" localSheetId="71">'Div 4'!$D$54</definedName>
    <definedName name="OSRRefD22_2x_0" localSheetId="93">'Div 5'!$D$43</definedName>
    <definedName name="OSRRefD22_2x_0" localSheetId="62">'Div 6'!$D$75</definedName>
    <definedName name="OSRRefD22_2x_0" localSheetId="2">Summary!$D$180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'300'!$D$148:$D$149</definedName>
    <definedName name="OSRRefD22_3x_0" localSheetId="49">'300 &amp; 317'!$D$172:$D$173</definedName>
    <definedName name="OSRRefD22_3x_0" localSheetId="50">'301'!$D$45:$D$46</definedName>
    <definedName name="OSRRefD22_3x_0" localSheetId="51">'306'!$D$43</definedName>
    <definedName name="OSRRefD22_3x_0" localSheetId="53">'307'!$D$61</definedName>
    <definedName name="OSRRefD22_3x_0" localSheetId="54">'308'!$D$83:$D$84</definedName>
    <definedName name="OSRRefD22_3x_0" localSheetId="65">'309'!$D$44</definedName>
    <definedName name="OSRRefD22_3x_0" localSheetId="64">'310'!$D$54</definedName>
    <definedName name="OSRRefD22_3x_0" localSheetId="72">'310 &amp; 491'!$D$59</definedName>
    <definedName name="OSRRefD22_3x_0" localSheetId="55">'311'!$D$82:$D$83</definedName>
    <definedName name="OSRRefD22_3x_0" localSheetId="66">'313'!$D$50</definedName>
    <definedName name="OSRRefD22_3x_0" localSheetId="58">'315'!$D$104</definedName>
    <definedName name="OSRRefD22_3x_0" localSheetId="61">'316'!$D$55</definedName>
    <definedName name="OSRRefD22_3x_0" localSheetId="63">'317'!$D$77</definedName>
    <definedName name="OSRRefD22_3x_0" localSheetId="67">'321'!$D$49</definedName>
    <definedName name="OSRRefD22_3x_0" localSheetId="68">'322'!$D$45</definedName>
    <definedName name="OSRRefD22_3x_0" localSheetId="69">'325'!$D$47</definedName>
    <definedName name="OSRRefD22_3x_0" localSheetId="59">'326'!$D$71</definedName>
    <definedName name="OSRRefD22_3x_0" localSheetId="52">'330'!$D$65</definedName>
    <definedName name="OSRRefD22_3x_0" localSheetId="57">'331'!$D$105</definedName>
    <definedName name="OSRRefD22_3x_0" localSheetId="60">'332'!$D$57</definedName>
    <definedName name="OSRRefD22_3x_0" localSheetId="74">'405'!$D$46</definedName>
    <definedName name="OSRRefD22_3x_0" localSheetId="75">'406'!$D$26</definedName>
    <definedName name="OSRRefD22_3x_0" localSheetId="76">'411'!$D$43</definedName>
    <definedName name="OSRRefD22_3x_0" localSheetId="77">'412'!$D$44</definedName>
    <definedName name="OSRRefD22_3x_0" localSheetId="78">'413'!$D$46</definedName>
    <definedName name="OSRRefD22_3x_0" localSheetId="79">'414'!$D$48</definedName>
    <definedName name="OSRRefD22_3x_0" localSheetId="80">'415'!$D$50</definedName>
    <definedName name="OSRRefD22_3x_0" localSheetId="81">'418'!$D$46</definedName>
    <definedName name="OSRRefD22_3x_0" localSheetId="83">'423'!$D$42:$D$43</definedName>
    <definedName name="OSRRefD22_3x_0" localSheetId="84">'424'!$D$26</definedName>
    <definedName name="OSRRefD22_3x_0" localSheetId="85">'425'!$D$31</definedName>
    <definedName name="OSRRefD22_3x_0" localSheetId="88">'430'!$D$43</definedName>
    <definedName name="OSRRefD22_3x_0" localSheetId="89">'433'!$D$51</definedName>
    <definedName name="OSRRefD22_3x_0" localSheetId="91">'444'!$D$51</definedName>
    <definedName name="OSRRefD22_3x_0" localSheetId="92">'450'!$D$47</definedName>
    <definedName name="OSRRefD22_3x_0" localSheetId="73">'491'!$D$53</definedName>
    <definedName name="OSRRefD22_3x_0" localSheetId="87">'492'!$D$51</definedName>
    <definedName name="OSRRefD22_3x_0" localSheetId="94">'501'!$D$45</definedName>
    <definedName name="OSRRefD22_3x_0" localSheetId="39">'Div 2'!$D$46</definedName>
    <definedName name="OSRRefD22_3x_0" localSheetId="47">'Div 3'!$D$152:$D$153</definedName>
    <definedName name="OSRRefD22_3x_0" localSheetId="71">'Div 4'!$D$56</definedName>
    <definedName name="OSRRefD22_3x_0" localSheetId="93">'Div 5'!$D$45</definedName>
    <definedName name="OSRRefD22_3x_0" localSheetId="62">'Div 6'!$D$77</definedName>
    <definedName name="OSRRefD22_3x_0" localSheetId="2">Summary!$D$182:$D$183</definedName>
    <definedName name="OSRRefD22_4x_0" localSheetId="40">'200'!$D$28:$D$29</definedName>
    <definedName name="OSRRefD22_4x_0" localSheetId="41">'201'!$D$46:$D$47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'205'!$D$45:$D$47</definedName>
    <definedName name="OSRRefD22_4x_0" localSheetId="46">'206'!$D$45</definedName>
    <definedName name="OSRRefD22_4x_0" localSheetId="48">'300'!$D$151</definedName>
    <definedName name="OSRRefD22_4x_0" localSheetId="49">'300 &amp; 317'!$D$175</definedName>
    <definedName name="OSRRefD22_4x_0" localSheetId="50">'301'!$D$48</definedName>
    <definedName name="OSRRefD22_4x_0" localSheetId="51">'306'!$D$45</definedName>
    <definedName name="OSRRefD22_4x_0" localSheetId="53">'307'!$D$63</definedName>
    <definedName name="OSRRefD22_4x_0" localSheetId="54">'308'!$D$86</definedName>
    <definedName name="OSRRefD22_4x_0" localSheetId="65">'309'!$D$46</definedName>
    <definedName name="OSRRefD22_4x_0" localSheetId="64">'310'!$D$56</definedName>
    <definedName name="OSRRefD22_4x_0" localSheetId="72">'310 &amp; 491'!$D$61</definedName>
    <definedName name="OSRRefD22_4x_0" localSheetId="55">'311'!$D$85</definedName>
    <definedName name="OSRRefD22_4x_0" localSheetId="66">'313'!$D$52</definedName>
    <definedName name="OSRRefD22_4x_0" localSheetId="58">'315'!$D$106</definedName>
    <definedName name="OSRRefD22_4x_0" localSheetId="61">'316'!$D$57</definedName>
    <definedName name="OSRRefD22_4x_0" localSheetId="63">'317'!$D$79</definedName>
    <definedName name="OSRRefD22_4x_0" localSheetId="67">'321'!$D$51</definedName>
    <definedName name="OSRRefD22_4x_0" localSheetId="68">'322'!$D$47</definedName>
    <definedName name="OSRRefD22_4x_0" localSheetId="69">'325'!$D$49</definedName>
    <definedName name="OSRRefD22_4x_0" localSheetId="59">'326'!$D$73</definedName>
    <definedName name="OSRRefD22_4x_0" localSheetId="52">'330'!$D$67</definedName>
    <definedName name="OSRRefD22_4x_0" localSheetId="57">'331'!$D$107</definedName>
    <definedName name="OSRRefD22_4x_0" localSheetId="60">'332'!$D$59</definedName>
    <definedName name="OSRRefD22_4x_0" localSheetId="74">'405'!$D$48:$D$49</definedName>
    <definedName name="OSRRefD22_4x_0" localSheetId="75">'406'!$D$28</definedName>
    <definedName name="OSRRefD22_4x_0" localSheetId="76">'411'!$D$45:$D$46</definedName>
    <definedName name="OSRRefD22_4x_0" localSheetId="77">'412'!$D$46:$D$47</definedName>
    <definedName name="OSRRefD22_4x_0" localSheetId="78">'413'!$D$48</definedName>
    <definedName name="OSRRefD22_4x_0" localSheetId="79">'414'!$D$50</definedName>
    <definedName name="OSRRefD22_4x_0" localSheetId="80">'415'!$D$52</definedName>
    <definedName name="OSRRefD22_4x_0" localSheetId="81">'418'!$D$48:$D$49</definedName>
    <definedName name="OSRRefD22_4x_0" localSheetId="83">'423'!$D$45</definedName>
    <definedName name="OSRRefD22_4x_0" localSheetId="85">'425'!$D$33:$D$34</definedName>
    <definedName name="OSRRefD22_4x_0" localSheetId="88">'430'!$D$45:$D$47</definedName>
    <definedName name="OSRRefD22_4x_0" localSheetId="89">'433'!$D$53</definedName>
    <definedName name="OSRRefD22_4x_0" localSheetId="91">'444'!$D$53</definedName>
    <definedName name="OSRRefD22_4x_0" localSheetId="92">'450'!$D$49</definedName>
    <definedName name="OSRRefD22_4x_0" localSheetId="73">'491'!$D$55</definedName>
    <definedName name="OSRRefD22_4x_0" localSheetId="87">'492'!$D$53</definedName>
    <definedName name="OSRRefD22_4x_0" localSheetId="94">'501'!$D$47</definedName>
    <definedName name="OSRRefD22_4x_0" localSheetId="39">'Div 2'!$D$48</definedName>
    <definedName name="OSRRefD22_4x_0" localSheetId="47">'Div 3'!$D$155</definedName>
    <definedName name="OSRRefD22_4x_0" localSheetId="71">'Div 4'!$D$58</definedName>
    <definedName name="OSRRefD22_4x_0" localSheetId="93">'Div 5'!$D$47</definedName>
    <definedName name="OSRRefD22_4x_0" localSheetId="62">'Div 6'!$D$79</definedName>
    <definedName name="OSRRefD22_4x_0" localSheetId="2">Summary!$D$185</definedName>
    <definedName name="OSRRefD22_5x_0" localSheetId="41">'201'!$D$49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'205'!$D$49</definedName>
    <definedName name="OSRRefD22_5x_0" localSheetId="46">'206'!$D$47</definedName>
    <definedName name="OSRRefD22_5x_0" localSheetId="48">'300'!$D$153:$D$154</definedName>
    <definedName name="OSRRefD22_5x_0" localSheetId="49">'300 &amp; 317'!$D$177:$D$178</definedName>
    <definedName name="OSRRefD22_5x_0" localSheetId="50">'301'!$D$50:$D$51</definedName>
    <definedName name="OSRRefD22_5x_0" localSheetId="51">'306'!$D$47</definedName>
    <definedName name="OSRRefD22_5x_0" localSheetId="53">'307'!$D$65:$D$66</definedName>
    <definedName name="OSRRefD22_5x_0" localSheetId="54">'308'!$D$88</definedName>
    <definedName name="OSRRefD22_5x_0" localSheetId="65">'309'!$D$48</definedName>
    <definedName name="OSRRefD22_5x_0" localSheetId="64">'310'!$D$58:$D$59</definedName>
    <definedName name="OSRRefD22_5x_0" localSheetId="72">'310 &amp; 491'!$D$63:$D$65</definedName>
    <definedName name="OSRRefD22_5x_0" localSheetId="55">'311'!$D$87</definedName>
    <definedName name="OSRRefD22_5x_0" localSheetId="66">'313'!$D$54</definedName>
    <definedName name="OSRRefD22_5x_0" localSheetId="58">'315'!$D$108:$D$109</definedName>
    <definedName name="OSRRefD22_5x_0" localSheetId="61">'316'!$D$59</definedName>
    <definedName name="OSRRefD22_5x_0" localSheetId="63">'317'!$D$81</definedName>
    <definedName name="OSRRefD22_5x_0" localSheetId="67">'321'!$D$53</definedName>
    <definedName name="OSRRefD22_5x_0" localSheetId="68">'322'!$D$49</definedName>
    <definedName name="OSRRefD22_5x_0" localSheetId="69">'325'!$D$51:$D$52</definedName>
    <definedName name="OSRRefD22_5x_0" localSheetId="59">'326'!$D$75</definedName>
    <definedName name="OSRRefD22_5x_0" localSheetId="52">'330'!$D$69:$D$70</definedName>
    <definedName name="OSRRefD22_5x_0" localSheetId="57">'331'!$D$109:$D$110</definedName>
    <definedName name="OSRRefD22_5x_0" localSheetId="60">'332'!$D$61</definedName>
    <definedName name="OSRRefD22_5x_0" localSheetId="74">'405'!$D$51</definedName>
    <definedName name="OSRRefD22_5x_0" localSheetId="76">'411'!$D$48</definedName>
    <definedName name="OSRRefD22_5x_0" localSheetId="77">'412'!$D$49</definedName>
    <definedName name="OSRRefD22_5x_0" localSheetId="78">'413'!$D$50</definedName>
    <definedName name="OSRRefD22_5x_0" localSheetId="79">'414'!$D$52</definedName>
    <definedName name="OSRRefD22_5x_0" localSheetId="80">'415'!$D$54:$D$55</definedName>
    <definedName name="OSRRefD22_5x_0" localSheetId="81">'418'!$D$51</definedName>
    <definedName name="OSRRefD22_5x_0" localSheetId="83">'423'!$D$47</definedName>
    <definedName name="OSRRefD22_5x_0" localSheetId="85">'425'!$D$36</definedName>
    <definedName name="OSRRefD22_5x_0" localSheetId="88">'430'!$D$49:$D$50</definedName>
    <definedName name="OSRRefD22_5x_0" localSheetId="89">'433'!$D$55</definedName>
    <definedName name="OSRRefD22_5x_0" localSheetId="91">'444'!$D$55</definedName>
    <definedName name="OSRRefD22_5x_0" localSheetId="92">'450'!$D$51</definedName>
    <definedName name="OSRRefD22_5x_0" localSheetId="73">'491'!$D$57:$D$59</definedName>
    <definedName name="OSRRefD22_5x_0" localSheetId="87">'492'!$D$55</definedName>
    <definedName name="OSRRefD22_5x_0" localSheetId="94">'501'!$D$49:$D$50</definedName>
    <definedName name="OSRRefD22_5x_0" localSheetId="39">'Div 2'!$D$50:$D$51</definedName>
    <definedName name="OSRRefD22_5x_0" localSheetId="47">'Div 3'!$D$157:$D$158</definedName>
    <definedName name="OSRRefD22_5x_0" localSheetId="71">'Div 4'!$D$60:$D$62</definedName>
    <definedName name="OSRRefD22_5x_0" localSheetId="93">'Div 5'!$D$49:$D$50</definedName>
    <definedName name="OSRRefD22_5x_0" localSheetId="62">'Div 6'!$D$81</definedName>
    <definedName name="OSRRefD22_5x_0" localSheetId="2">Summary!$D$187:$D$189</definedName>
    <definedName name="OSRRefD22_6x_0" localSheetId="41">'201'!$D$51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'205'!$D$51:$D$53</definedName>
    <definedName name="OSRRefD22_6x_0" localSheetId="46">'206'!$D$49</definedName>
    <definedName name="OSRRefD22_6x_0" localSheetId="48">'300'!$D$156:$D$157</definedName>
    <definedName name="OSRRefD22_6x_0" localSheetId="49">'300 &amp; 317'!$D$180:$D$181</definedName>
    <definedName name="OSRRefD22_6x_0" localSheetId="50">'301'!$D$53</definedName>
    <definedName name="OSRRefD22_6x_0" localSheetId="51">'306'!$D$49:$D$50</definedName>
    <definedName name="OSRRefD22_6x_0" localSheetId="53">'307'!$D$68</definedName>
    <definedName name="OSRRefD22_6x_0" localSheetId="54">'308'!$D$90:$D$91</definedName>
    <definedName name="OSRRefD22_6x_0" localSheetId="65">'309'!$D$50</definedName>
    <definedName name="OSRRefD22_6x_0" localSheetId="64">'310'!$D$61</definedName>
    <definedName name="OSRRefD22_6x_0" localSheetId="72">'310 &amp; 491'!$D$67</definedName>
    <definedName name="OSRRefD22_6x_0" localSheetId="55">'311'!$D$89:$D$90</definedName>
    <definedName name="OSRRefD22_6x_0" localSheetId="66">'313'!$D$56:$D$57</definedName>
    <definedName name="OSRRefD22_6x_0" localSheetId="58">'315'!$D$111</definedName>
    <definedName name="OSRRefD22_6x_0" localSheetId="61">'316'!$D$61:$D$62</definedName>
    <definedName name="OSRRefD22_6x_0" localSheetId="63">'317'!$D$83:$D$84</definedName>
    <definedName name="OSRRefD22_6x_0" localSheetId="67">'321'!$D$55</definedName>
    <definedName name="OSRRefD22_6x_0" localSheetId="68">'322'!$D$51</definedName>
    <definedName name="OSRRefD22_6x_0" localSheetId="69">'325'!$D$54</definedName>
    <definedName name="OSRRefD22_6x_0" localSheetId="59">'326'!$D$77</definedName>
    <definedName name="OSRRefD22_6x_0" localSheetId="52">'330'!$D$72</definedName>
    <definedName name="OSRRefD22_6x_0" localSheetId="57">'331'!$D$112</definedName>
    <definedName name="OSRRefD22_6x_0" localSheetId="60">'332'!$D$63:$D$64</definedName>
    <definedName name="OSRRefD22_6x_0" localSheetId="74">'405'!$D$53</definedName>
    <definedName name="OSRRefD22_6x_0" localSheetId="76">'411'!$D$50</definedName>
    <definedName name="OSRRefD22_6x_0" localSheetId="77">'412'!$D$51</definedName>
    <definedName name="OSRRefD22_6x_0" localSheetId="78">'413'!$D$52</definedName>
    <definedName name="OSRRefD22_6x_0" localSheetId="79">'414'!$D$54</definedName>
    <definedName name="OSRRefD22_6x_0" localSheetId="80">'415'!$D$57</definedName>
    <definedName name="OSRRefD22_6x_0" localSheetId="81">'418'!$D$53</definedName>
    <definedName name="OSRRefD22_6x_0" localSheetId="83">'423'!$D$49</definedName>
    <definedName name="OSRRefD22_6x_0" localSheetId="88">'430'!$D$52</definedName>
    <definedName name="OSRRefD22_6x_0" localSheetId="89">'433'!$D$57</definedName>
    <definedName name="OSRRefD22_6x_0" localSheetId="91">'444'!$D$57</definedName>
    <definedName name="OSRRefD22_6x_0" localSheetId="92">'450'!$D$53</definedName>
    <definedName name="OSRRefD22_6x_0" localSheetId="73">'491'!$D$61</definedName>
    <definedName name="OSRRefD22_6x_0" localSheetId="87">'492'!$D$57</definedName>
    <definedName name="OSRRefD22_6x_0" localSheetId="94">'501'!$D$52</definedName>
    <definedName name="OSRRefD22_6x_0" localSheetId="39">'Div 2'!$D$53:$D$54</definedName>
    <definedName name="OSRRefD22_6x_0" localSheetId="47">'Div 3'!$D$160:$D$161</definedName>
    <definedName name="OSRRefD22_6x_0" localSheetId="71">'Div 4'!$D$64</definedName>
    <definedName name="OSRRefD22_6x_0" localSheetId="93">'Div 5'!$D$52</definedName>
    <definedName name="OSRRefD22_6x_0" localSheetId="62">'Div 6'!$D$83:$D$84</definedName>
    <definedName name="OSRRefD22_6x_0" localSheetId="2">Summary!$D$191:$D$192</definedName>
    <definedName name="OSRRefD22_7x_0" localSheetId="41">'201'!$D$53</definedName>
    <definedName name="OSRRefD22_7x_0" localSheetId="42">'202'!$D$53:$D$55</definedName>
    <definedName name="OSRRefD22_7x_0" localSheetId="43">'203'!$D$52:$D$53</definedName>
    <definedName name="OSRRefD22_7x_0" localSheetId="44">'204'!$D$53:$D$55</definedName>
    <definedName name="OSRRefD22_7x_0" localSheetId="45">'205'!$D$55</definedName>
    <definedName name="OSRRefD22_7x_0" localSheetId="46">'206'!$D$51</definedName>
    <definedName name="OSRRefD22_7x_0" localSheetId="48">'300'!$D$159:$D$160</definedName>
    <definedName name="OSRRefD22_7x_0" localSheetId="49">'300 &amp; 317'!$D$183:$D$184</definedName>
    <definedName name="OSRRefD22_7x_0" localSheetId="50">'301'!$D$55</definedName>
    <definedName name="OSRRefD22_7x_0" localSheetId="51">'306'!$D$52:$D$53</definedName>
    <definedName name="OSRRefD22_7x_0" localSheetId="53">'307'!$D$70</definedName>
    <definedName name="OSRRefD22_7x_0" localSheetId="54">'308'!$D$93:$D$94</definedName>
    <definedName name="OSRRefD22_7x_0" localSheetId="65">'309'!$D$52:$D$53</definedName>
    <definedName name="OSRRefD22_7x_0" localSheetId="64">'310'!$D$63</definedName>
    <definedName name="OSRRefD22_7x_0" localSheetId="72">'310 &amp; 491'!$D$69</definedName>
    <definedName name="OSRRefD22_7x_0" localSheetId="55">'311'!$D$92:$D$93</definedName>
    <definedName name="OSRRefD22_7x_0" localSheetId="66">'313'!$D$59</definedName>
    <definedName name="OSRRefD22_7x_0" localSheetId="58">'315'!$D$113:$D$114</definedName>
    <definedName name="OSRRefD22_7x_0" localSheetId="61">'316'!$D$64:$D$66</definedName>
    <definedName name="OSRRefD22_7x_0" localSheetId="63">'317'!$D$86</definedName>
    <definedName name="OSRRefD22_7x_0" localSheetId="67">'321'!$D$57:$D$58</definedName>
    <definedName name="OSRRefD22_7x_0" localSheetId="68">'322'!$D$53:$D$54</definedName>
    <definedName name="OSRRefD22_7x_0" localSheetId="69">'325'!$D$56</definedName>
    <definedName name="OSRRefD22_7x_0" localSheetId="59">'326'!$D$79</definedName>
    <definedName name="OSRRefD22_7x_0" localSheetId="52">'330'!$D$74</definedName>
    <definedName name="OSRRefD22_7x_0" localSheetId="57">'331'!$D$114</definedName>
    <definedName name="OSRRefD22_7x_0" localSheetId="60">'332'!$D$66:$D$68</definedName>
    <definedName name="OSRRefD22_7x_0" localSheetId="74">'405'!$D$55</definedName>
    <definedName name="OSRRefD22_7x_0" localSheetId="76">'411'!$D$52</definedName>
    <definedName name="OSRRefD22_7x_0" localSheetId="77">'412'!$D$53</definedName>
    <definedName name="OSRRefD22_7x_0" localSheetId="78">'413'!$D$54</definedName>
    <definedName name="OSRRefD22_7x_0" localSheetId="79">'414'!$D$56</definedName>
    <definedName name="OSRRefD22_7x_0" localSheetId="80">'415'!$D$59</definedName>
    <definedName name="OSRRefD22_7x_0" localSheetId="81">'418'!$D$55</definedName>
    <definedName name="OSRRefD22_7x_0" localSheetId="88">'430'!$D$54</definedName>
    <definedName name="OSRRefD22_7x_0" localSheetId="89">'433'!$D$59</definedName>
    <definedName name="OSRRefD22_7x_0" localSheetId="91">'444'!$D$59</definedName>
    <definedName name="OSRRefD22_7x_0" localSheetId="92">'450'!$D$55</definedName>
    <definedName name="OSRRefD22_7x_0" localSheetId="73">'491'!$D$63</definedName>
    <definedName name="OSRRefD22_7x_0" localSheetId="87">'492'!$D$59</definedName>
    <definedName name="OSRRefD22_7x_0" localSheetId="94">'501'!$D$54</definedName>
    <definedName name="OSRRefD22_7x_0" localSheetId="39">'Div 2'!$D$56</definedName>
    <definedName name="OSRRefD22_7x_0" localSheetId="47">'Div 3'!$D$163:$D$164</definedName>
    <definedName name="OSRRefD22_7x_0" localSheetId="71">'Div 4'!$D$66</definedName>
    <definedName name="OSRRefD22_7x_0" localSheetId="93">'Div 5'!$D$54</definedName>
    <definedName name="OSRRefD22_7x_0" localSheetId="62">'Div 6'!$D$86</definedName>
    <definedName name="OSRRefD22_7x_0" localSheetId="2">Summary!$D$194:$D$195</definedName>
    <definedName name="OSRRefD22_8x_0" localSheetId="41">'201'!$D$55</definedName>
    <definedName name="OSRRefD22_8x_0" localSheetId="42">'202'!$D$57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'300'!$D$162</definedName>
    <definedName name="OSRRefD22_8x_0" localSheetId="49">'300 &amp; 317'!$D$186</definedName>
    <definedName name="OSRRefD22_8x_0" localSheetId="50">'301'!$D$57</definedName>
    <definedName name="OSRRefD22_8x_0" localSheetId="51">'306'!$D$55</definedName>
    <definedName name="OSRRefD22_8x_0" localSheetId="53">'307'!$D$72</definedName>
    <definedName name="OSRRefD22_8x_0" localSheetId="54">'308'!$D$96</definedName>
    <definedName name="OSRRefD22_8x_0" localSheetId="65">'309'!$D$55:$D$56</definedName>
    <definedName name="OSRRefD22_8x_0" localSheetId="64">'310'!$D$65</definedName>
    <definedName name="OSRRefD22_8x_0" localSheetId="72">'310 &amp; 491'!$D$71:$D$72</definedName>
    <definedName name="OSRRefD22_8x_0" localSheetId="55">'311'!$D$95</definedName>
    <definedName name="OSRRefD22_8x_0" localSheetId="66">'313'!$D$61:$D$63</definedName>
    <definedName name="OSRRefD22_8x_0" localSheetId="58">'315'!$D$116</definedName>
    <definedName name="OSRRefD22_8x_0" localSheetId="61">'316'!$D$68</definedName>
    <definedName name="OSRRefD22_8x_0" localSheetId="63">'317'!$D$88</definedName>
    <definedName name="OSRRefD22_8x_0" localSheetId="67">'321'!$D$60:$D$61</definedName>
    <definedName name="OSRRefD22_8x_0" localSheetId="68">'322'!$D$56:$D$57</definedName>
    <definedName name="OSRRefD22_8x_0" localSheetId="69">'325'!$D$58</definedName>
    <definedName name="OSRRefD22_8x_0" localSheetId="59">'326'!$D$81:$D$82</definedName>
    <definedName name="OSRRefD22_8x_0" localSheetId="52">'330'!$D$76</definedName>
    <definedName name="OSRRefD22_8x_0" localSheetId="57">'331'!$D$116:$D$117</definedName>
    <definedName name="OSRRefD22_8x_0" localSheetId="60">'332'!$D$70</definedName>
    <definedName name="OSRRefD22_8x_0" localSheetId="74">'405'!$D$57</definedName>
    <definedName name="OSRRefD22_8x_0" localSheetId="76">'411'!$D$54</definedName>
    <definedName name="OSRRefD22_8x_0" localSheetId="77">'412'!$D$55:$D$56</definedName>
    <definedName name="OSRRefD22_8x_0" localSheetId="78">'413'!$D$56:$D$59</definedName>
    <definedName name="OSRRefD22_8x_0" localSheetId="79">'414'!$D$58:$D$59</definedName>
    <definedName name="OSRRefD22_8x_0" localSheetId="80">'415'!$D$61</definedName>
    <definedName name="OSRRefD22_8x_0" localSheetId="81">'418'!$D$57:$D$59</definedName>
    <definedName name="OSRRefD22_8x_0" localSheetId="89">'433'!$D$61</definedName>
    <definedName name="OSRRefD22_8x_0" localSheetId="91">'444'!$D$61</definedName>
    <definedName name="OSRRefD22_8x_0" localSheetId="92">'450'!$D$57</definedName>
    <definedName name="OSRRefD22_8x_0" localSheetId="73">'491'!$D$65</definedName>
    <definedName name="OSRRefD22_8x_0" localSheetId="87">'492'!$D$61</definedName>
    <definedName name="OSRRefD22_8x_0" localSheetId="94">'501'!$D$56</definedName>
    <definedName name="OSRRefD22_8x_0" localSheetId="39">'Div 2'!$D$58</definedName>
    <definedName name="OSRRefD22_8x_0" localSheetId="47">'Div 3'!$D$166</definedName>
    <definedName name="OSRRefD22_8x_0" localSheetId="71">'Div 4'!$D$68</definedName>
    <definedName name="OSRRefD22_8x_0" localSheetId="93">'Div 5'!$D$56</definedName>
    <definedName name="OSRRefD22_8x_0" localSheetId="62">'Div 6'!$D$88</definedName>
    <definedName name="OSRRefD22_8x_0" localSheetId="2">Summary!$D$197</definedName>
    <definedName name="OSRRefD22_9x_0" localSheetId="41">'201'!$D$57</definedName>
    <definedName name="OSRRefD22_9x_0" localSheetId="42">'202'!$D$59:$D$61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'300'!$D$164</definedName>
    <definedName name="OSRRefD22_9x_0" localSheetId="49">'300 &amp; 317'!$D$188</definedName>
    <definedName name="OSRRefD22_9x_0" localSheetId="50">'301'!$D$59</definedName>
    <definedName name="OSRRefD22_9x_0" localSheetId="51">'306'!$D$57</definedName>
    <definedName name="OSRRefD22_9x_0" localSheetId="53">'307'!$D$74:$D$75</definedName>
    <definedName name="OSRRefD22_9x_0" localSheetId="54">'308'!$D$98:$D$99</definedName>
    <definedName name="OSRRefD22_9x_0" localSheetId="65">'309'!$D$58:$D$60</definedName>
    <definedName name="OSRRefD22_9x_0" localSheetId="64">'310'!$D$67</definedName>
    <definedName name="OSRRefD22_9x_0" localSheetId="72">'310 &amp; 491'!$D$74</definedName>
    <definedName name="OSRRefD22_9x_0" localSheetId="55">'311'!$D$97:$D$98</definedName>
    <definedName name="OSRRefD22_9x_0" localSheetId="66">'313'!$D$65:$D$66</definedName>
    <definedName name="OSRRefD22_9x_0" localSheetId="58">'315'!$D$118:$D$119</definedName>
    <definedName name="OSRRefD22_9x_0" localSheetId="61">'316'!$D$70:$D$74</definedName>
    <definedName name="OSRRefD22_9x_0" localSheetId="63">'317'!$D$90:$D$91</definedName>
    <definedName name="OSRRefD22_9x_0" localSheetId="67">'321'!$D$63:$D$64</definedName>
    <definedName name="OSRRefD22_9x_0" localSheetId="68">'322'!$D$59:$D$62</definedName>
    <definedName name="OSRRefD22_9x_0" localSheetId="69">'325'!$D$60</definedName>
    <definedName name="OSRRefD22_9x_0" localSheetId="59">'326'!$D$84</definedName>
    <definedName name="OSRRefD22_9x_0" localSheetId="52">'330'!$D$78:$D$79</definedName>
    <definedName name="OSRRefD22_9x_0" localSheetId="57">'331'!$D$119:$D$120</definedName>
    <definedName name="OSRRefD22_9x_0" localSheetId="60">'332'!$D$72:$D$76</definedName>
    <definedName name="OSRRefD22_9x_0" localSheetId="74">'405'!$D$59:$D$60</definedName>
    <definedName name="OSRRefD22_9x_0" localSheetId="76">'411'!$D$56:$D$59</definedName>
    <definedName name="OSRRefD22_9x_0" localSheetId="77">'412'!$D$58</definedName>
    <definedName name="OSRRefD22_9x_0" localSheetId="78">'413'!$D$61:$D$62</definedName>
    <definedName name="OSRRefD22_9x_0" localSheetId="79">'414'!$D$61</definedName>
    <definedName name="OSRRefD22_9x_0" localSheetId="80">'415'!$D$63</definedName>
    <definedName name="OSRRefD22_9x_0" localSheetId="81">'418'!$D$61:$D$62</definedName>
    <definedName name="OSRRefD22_9x_0" localSheetId="89">'433'!$D$63</definedName>
    <definedName name="OSRRefD22_9x_0" localSheetId="91">'444'!$D$63</definedName>
    <definedName name="OSRRefD22_9x_0" localSheetId="92">'450'!$D$59</definedName>
    <definedName name="OSRRefD22_9x_0" localSheetId="73">'491'!$D$67</definedName>
    <definedName name="OSRRefD22_9x_0" localSheetId="87">'492'!$D$63</definedName>
    <definedName name="OSRRefD22_9x_0" localSheetId="94">'501'!$D$58:$D$61</definedName>
    <definedName name="OSRRefD22_9x_0" localSheetId="39">'Div 2'!$D$60:$D$61</definedName>
    <definedName name="OSRRefD22_9x_0" localSheetId="47">'Div 3'!$D$168</definedName>
    <definedName name="OSRRefD22_9x_0" localSheetId="71">'Div 4'!$D$70</definedName>
    <definedName name="OSRRefD22_9x_0" localSheetId="93">'Div 5'!$D$58:$D$61</definedName>
    <definedName name="OSRRefD22_9x_0" localSheetId="62">'Div 6'!$D$90:$D$91</definedName>
    <definedName name="OSRRefD22_9x_0" localSheetId="2">Summary!$D$199</definedName>
    <definedName name="OSRRefD22x_0" localSheetId="40">'200'!$D$20,'200'!$D$22,'200'!$D$24,'200'!$D$26,'200'!$D$28:$D$29</definedName>
    <definedName name="OSRRefD22x_0" localSheetId="41">'201'!$D$21:$D$29,'201'!$D$31:$D$40,'201'!$D$42,'201'!$D$44,'201'!$D$46:$D$47,'201'!$D$49,'201'!$D$51,'201'!$D$53,'201'!$D$55,'201'!$D$57,'201'!$D$59:$D$61,'201'!$D$63:$D$64,'201'!$D$66,'201'!$D$68:$D$70,'201'!$D$72,'201'!$D$74,'201'!$D$76</definedName>
    <definedName name="OSRRefD22x_0" localSheetId="42">'202'!$D$21:$D$29,'202'!$D$31:$D$40,'202'!$D$42,'202'!$D$44,'202'!$D$46:$D$47,'202'!$D$49,'202'!$D$51,'202'!$D$53:$D$55,'202'!$D$57,'202'!$D$59:$D$61,'202'!$D$63,'202'!$D$65,'202'!$D$67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'205'!$D$20:$D$28,'205'!$D$30:$D$39,'205'!$D$41,'205'!$D$43,'205'!$D$45:$D$47,'205'!$D$49,'205'!$D$51:$D$53,'205'!$D$55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$124:$D$133,'300'!$D$135:$D$144,'300'!$D$146,'300'!$D$148:$D$149,'300'!$D$151,'300'!$D$153:$D$154,'300'!$D$156:$D$157,'300'!$D$159:$D$160,'300'!$D$162,'300'!$D$164,'300'!$D$166:$D$167,'300'!$D$169:$D$171,'300'!$D$173,'300'!$D$175:$D$176,'300'!$D$178,'300'!$D$180,'300'!$D$182:$D$185,'300'!$D$187:$D$190,'300'!$D$192:$D$195,'300'!$D$197:$D$198,'300'!$D$200:$D$208,'300'!$D$210:$D$211,'300'!$D$213,'300'!$D$215:$D$217,'300'!$D$219</definedName>
    <definedName name="OSRRefD22x_0" localSheetId="49">'300 &amp; 317'!$D$148:$D$157,'300 &amp; 317'!$D$159:$D$168,'300 &amp; 317'!$D$170,'300 &amp; 317'!$D$172:$D$173,'300 &amp; 317'!$D$175,'300 &amp; 317'!$D$177:$D$178,'300 &amp; 317'!$D$180:$D$181,'300 &amp; 317'!$D$183:$D$184,'300 &amp; 317'!$D$186,'300 &amp; 317'!$D$188,'300 &amp; 317'!$D$190:$D$191,'300 &amp; 317'!$D$193:$D$195,'300 &amp; 317'!$D$197,'300 &amp; 317'!$D$199:$D$200,'300 &amp; 317'!$D$202,'300 &amp; 317'!$D$204,'300 &amp; 317'!$D$206:$D$209,'300 &amp; 317'!$D$211:$D$214,'300 &amp; 317'!$D$216:$D$219,'300 &amp; 317'!$D$221:$D$222,'300 &amp; 317'!$D$224:$D$232,'300 &amp; 317'!$D$234:$D$235,'300 &amp; 317'!$D$237,'300 &amp; 317'!$D$239:$D$241,'300 &amp; 317'!$D$243</definedName>
    <definedName name="OSRRefD22x_0" localSheetId="50">'301'!$D$21:$D$30,'301'!$D$32:$D$41,'301'!$D$43,'301'!$D$45:$D$46,'301'!$D$48,'301'!$D$50:$D$51,'301'!$D$53,'301'!$D$55,'301'!$D$57,'301'!$D$59,'301'!$D$61,'301'!$D$63,'301'!$D$65,'301'!$D$67,'301'!$D$69,'301'!$D$71:$D$74,'301'!$D$76:$D$78,'301'!$D$80,'301'!$D$82:$D$88,'301'!$D$90,'301'!$D$92,'301'!$D$94:$D$95,'301'!$D$97</definedName>
    <definedName name="OSRRefD22x_0" localSheetId="51">'306'!$D$20:$D$28,'306'!$D$30:$D$39,'306'!$D$41,'306'!$D$43,'306'!$D$45,'306'!$D$47,'306'!$D$49:$D$50,'306'!$D$52:$D$53,'306'!$D$55,'306'!$D$57,'306'!$D$59</definedName>
    <definedName name="OSRRefD22x_0" localSheetId="53">'307'!$D$39:$D$46,'307'!$D$48:$D$57,'307'!$D$59,'307'!$D$61,'307'!$D$63,'307'!$D$65:$D$66,'307'!$D$68,'307'!$D$70,'307'!$D$72,'307'!$D$74:$D$75,'307'!$D$77:$D$78,'307'!$D$80:$D$83,'307'!$D$85:$D$86,'307'!$D$88</definedName>
    <definedName name="OSRRefD22x_0" localSheetId="54">'308'!$D$59:$D$68,'308'!$D$70:$D$79,'308'!$D$81,'308'!$D$83:$D$84,'308'!$D$86,'308'!$D$88,'308'!$D$90:$D$91,'308'!$D$93:$D$94,'308'!$D$96,'308'!$D$98:$D$99,'308'!$D$101:$D$102,'308'!$D$104:$D$106,'308'!$D$108:$D$109,'308'!$D$111,'308'!$D$113</definedName>
    <definedName name="OSRRefD22x_0" localSheetId="65">'309'!$D$22:$D$29,'309'!$D$31:$D$40,'309'!$D$42,'309'!$D$44,'309'!$D$46,'309'!$D$48,'309'!$D$50,'309'!$D$52:$D$53,'309'!$D$55:$D$56,'309'!$D$58:$D$60,'309'!$D$62</definedName>
    <definedName name="OSRRefD22x_0" localSheetId="64">'310'!$D$31:$D$39,'310'!$D$41:$D$50,'310'!$D$52,'310'!$D$54,'310'!$D$56,'310'!$D$58:$D$59,'310'!$D$61,'310'!$D$63,'310'!$D$65,'310'!$D$67,'310'!$D$69,'310'!$D$71,'310'!$D$73,'310'!$D$75:$D$78,'310'!$D$80:$D$81,'310'!$D$83:$D$86,'310'!$D$88,'310'!$D$90:$D$96,'310'!$D$98:$D$99,'310'!$D$101,'310'!$D$103,'310'!$D$105</definedName>
    <definedName name="OSRRefD22x_0" localSheetId="72">'310 &amp; 491'!$D$36:$D$44,'310 &amp; 491'!$D$46:$D$55,'310 &amp; 491'!$D$57,'310 &amp; 491'!$D$59,'310 &amp; 491'!$D$61,'310 &amp; 491'!$D$63:$D$65,'310 &amp; 491'!$D$67,'310 &amp; 491'!$D$69,'310 &amp; 491'!$D$71:$D$72,'310 &amp; 491'!$D$74,'310 &amp; 491'!$D$76,'310 &amp; 491'!$D$78,'310 &amp; 491'!$D$80,'310 &amp; 491'!$D$82:$D$85,'310 &amp; 491'!$D$87:$D$88,'310 &amp; 491'!$D$90:$D$94,'310 &amp; 491'!$D$96:$D$97,'310 &amp; 491'!$D$99:$D$109,'310 &amp; 491'!$D$111:$D$112,'310 &amp; 491'!$D$114,'310 &amp; 491'!$D$116:$D$118,'310 &amp; 491'!$D$120</definedName>
    <definedName name="OSRRefD22x_0" localSheetId="55">'311'!$D$58:$D$67,'311'!$D$69:$D$78,'311'!$D$80,'311'!$D$82:$D$83,'311'!$D$85,'311'!$D$87,'311'!$D$89:$D$90,'311'!$D$92:$D$93,'311'!$D$95,'311'!$D$97:$D$98,'311'!$D$100:$D$101,'311'!$D$103:$D$105,'311'!$D$107:$D$108,'311'!$D$110,'311'!$D$112</definedName>
    <definedName name="OSRRefD22x_0" localSheetId="66">'313'!$D$27:$D$35,'313'!$D$37:$D$46,'313'!$D$48,'313'!$D$50,'313'!$D$52,'313'!$D$54,'313'!$D$56:$D$57,'313'!$D$59,'313'!$D$61:$D$63,'313'!$D$65:$D$66,'313'!$D$68,'313'!$D$70</definedName>
    <definedName name="OSRRefD22x_0" localSheetId="58">'315'!$D$81:$D$89,'315'!$D$91:$D$100,'315'!$D$102,'315'!$D$104,'315'!$D$106,'315'!$D$108:$D$109,'315'!$D$111,'315'!$D$113:$D$114,'315'!$D$116,'315'!$D$118:$D$119,'315'!$D$121,'315'!$D$123,'315'!$D$125:$D$127,'315'!$D$129:$D$130,'315'!$D$132:$D$138,'315'!$D$140,'315'!$D$142,'315'!$D$144:$D$145</definedName>
    <definedName name="OSRRefD22x_0" localSheetId="61">'316'!$D$32:$D$40,'316'!$D$42:$D$51,'316'!$D$53,'316'!$D$55,'316'!$D$57,'316'!$D$59,'316'!$D$61:$D$62,'316'!$D$64:$D$66,'316'!$D$68,'316'!$D$70:$D$74,'316'!$D$76,'316'!$D$78</definedName>
    <definedName name="OSRRefD22x_0" localSheetId="63">'317'!$D$53:$D$62,'317'!$D$64:$D$73,'317'!$D$75,'317'!$D$77,'317'!$D$79,'317'!$D$81,'317'!$D$83:$D$84,'317'!$D$86,'317'!$D$88,'317'!$D$90:$D$91,'317'!$D$93,'317'!$D$95:$D$98,'317'!$D$100,'317'!$D$102</definedName>
    <definedName name="OSRRefD22x_0" localSheetId="67">'321'!$D$26:$D$34,'321'!$D$36:$D$45,'321'!$D$47,'321'!$D$49,'321'!$D$51,'321'!$D$53,'321'!$D$55,'321'!$D$57:$D$58,'321'!$D$60:$D$61,'321'!$D$63:$D$64,'321'!$D$66:$D$68,'321'!$D$70:$D$71,'321'!$D$73,'321'!$D$75</definedName>
    <definedName name="OSRRefD22x_0" localSheetId="68">'322'!$D$23:$D$30,'322'!$D$32:$D$41,'322'!$D$43,'322'!$D$45,'322'!$D$47,'322'!$D$49,'322'!$D$51,'322'!$D$53:$D$54,'322'!$D$56:$D$57,'322'!$D$59:$D$62,'322'!$D$64,'322'!$D$66</definedName>
    <definedName name="OSRRefD22x_0" localSheetId="56">'324'!$D$27:$D$34,'324'!$D$36:$D$45</definedName>
    <definedName name="OSRRefD22x_0" localSheetId="69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9">'326'!$D$48:$D$56,'326'!$D$58:$D$67,'326'!$D$69,'326'!$D$71,'326'!$D$73,'326'!$D$75,'326'!$D$77,'326'!$D$79,'326'!$D$81:$D$82,'326'!$D$84,'326'!$D$86,'326'!$D$88,'326'!$D$90,'326'!$D$92:$D$94,'326'!$D$96:$D$98,'326'!$D$100:$D$101,'326'!$D$103:$D$108,'326'!$D$110:$D$111,'326'!$D$113,'326'!$D$115:$D$116,'326'!$D$118</definedName>
    <definedName name="OSRRefD22x_0" localSheetId="70">'327'!$D$24,'327'!$D$26</definedName>
    <definedName name="OSRRefD22x_0" localSheetId="52">'330'!$D$42:$D$50,'330'!$D$52:$D$61,'330'!$D$63,'330'!$D$65,'330'!$D$67,'330'!$D$69:$D$70,'330'!$D$72,'330'!$D$74,'330'!$D$76,'330'!$D$78:$D$79,'330'!$D$81:$D$82,'330'!$D$84:$D$87,'330'!$D$89:$D$90,'330'!$D$92</definedName>
    <definedName name="OSRRefD22x_0" localSheetId="57">'331'!$D$82:$D$90,'331'!$D$92:$D$101,'331'!$D$103,'331'!$D$105,'331'!$D$107,'331'!$D$109:$D$110,'331'!$D$112,'331'!$D$114,'331'!$D$116:$D$117,'331'!$D$119:$D$120,'331'!$D$122,'331'!$D$124:$D$125,'331'!$D$127,'331'!$D$129,'331'!$D$131:$D$133,'331'!$D$135:$D$137,'331'!$D$139:$D$141,'331'!$D$143:$D$144,'331'!$D$146:$D$153,'331'!$D$155:$D$156,'331'!$D$158,'331'!$D$160:$D$161,'331'!$D$163</definedName>
    <definedName name="OSRRefD22x_0" localSheetId="60">'332'!$D$34:$D$42,'332'!$D$44:$D$53,'332'!$D$55,'332'!$D$57,'332'!$D$59,'332'!$D$61,'332'!$D$63:$D$64,'332'!$D$66:$D$68,'332'!$D$70,'332'!$D$72:$D$76,'332'!$D$78,'332'!$D$80</definedName>
    <definedName name="OSRRefD22x_0" localSheetId="74">'405'!$D$24:$D$31,'405'!$D$33:$D$42,'405'!$D$44,'405'!$D$46,'405'!$D$48:$D$49,'405'!$D$51,'405'!$D$53,'405'!$D$55,'405'!$D$57,'405'!$D$59:$D$60,'405'!$D$62,'405'!$D$64:$D$67,'405'!$D$69,'405'!$D$71:$D$79,'405'!$D$81,'405'!$D$83,'405'!$D$85,'405'!$D$87</definedName>
    <definedName name="OSRRefD22x_0" localSheetId="75">'406'!$D$20,'406'!$D$22,'406'!$D$24,'406'!$D$26,'406'!$D$28</definedName>
    <definedName name="OSRRefD22x_0" localSheetId="76">'411'!$D$20:$D$28,'411'!$D$30:$D$39,'411'!$D$41,'411'!$D$43,'411'!$D$45:$D$46,'411'!$D$48,'411'!$D$50,'411'!$D$52,'411'!$D$54,'411'!$D$56:$D$59,'411'!$D$61:$D$64,'411'!$D$66:$D$67,'411'!$D$69:$D$75,'411'!$D$77,'411'!$D$79,'411'!$D$81</definedName>
    <definedName name="OSRRefD22x_0" localSheetId="77">'412'!$D$22:$D$29,'412'!$D$31:$D$40,'412'!$D$42,'412'!$D$44,'412'!$D$46:$D$47,'412'!$D$49,'412'!$D$51,'412'!$D$53,'412'!$D$55:$D$56,'412'!$D$58,'412'!$D$60:$D$63,'412'!$D$65:$D$69,'412'!$D$71:$D$72,'412'!$D$74</definedName>
    <definedName name="OSRRefD22x_0" localSheetId="78">'413'!$D$23:$D$31,'413'!$D$33:$D$42,'413'!$D$44,'413'!$D$46,'413'!$D$48,'413'!$D$50,'413'!$D$52,'413'!$D$54,'413'!$D$56:$D$59,'413'!$D$61:$D$62,'413'!$D$64:$D$71,'413'!$D$73:$D$74,'413'!$D$76</definedName>
    <definedName name="OSRRefD22x_0" localSheetId="79">'414'!$D$25:$D$33,'414'!$D$35:$D$44,'414'!$D$46,'414'!$D$48,'414'!$D$50,'414'!$D$52,'414'!$D$54,'414'!$D$56,'414'!$D$58:$D$59,'414'!$D$61,'414'!$D$63,'414'!$D$65,'414'!$D$67:$D$69,'414'!$D$71,'414'!$D$73,'414'!$D$75</definedName>
    <definedName name="OSRRefD22x_0" localSheetId="80">'415'!$D$27:$D$35,'415'!$D$37:$D$46,'415'!$D$48,'415'!$D$50,'415'!$D$52,'415'!$D$54:$D$55,'415'!$D$57,'415'!$D$59,'415'!$D$61,'415'!$D$63,'415'!$D$65,'415'!$D$67:$D$68,'415'!$D$70:$D$74,'415'!$D$76,'415'!$D$78:$D$85,'415'!$D$87:$D$88,'415'!$D$90,'415'!$D$92:$D$93,'415'!$D$95</definedName>
    <definedName name="OSRRefD22x_0" localSheetId="81">'418'!$D$24:$D$31,'418'!$D$33:$D$42,'418'!$D$44,'418'!$D$46,'418'!$D$48:$D$49,'418'!$D$51,'418'!$D$53,'418'!$D$55,'418'!$D$57:$D$59,'418'!$D$61:$D$62,'418'!$D$64:$D$65,'418'!$D$67:$D$76,'418'!$D$78:$D$79,'418'!$D$81</definedName>
    <definedName name="OSRRefD22x_0" localSheetId="82">'420'!$D$22,'420'!$D$24</definedName>
    <definedName name="OSRRefD22x_0" localSheetId="83">'423'!$D$20:$D$27,'423'!$D$29:$D$38,'423'!$D$40,'423'!$D$42:$D$43,'423'!$D$45,'423'!$D$47,'423'!$D$49</definedName>
    <definedName name="OSRRefD22x_0" localSheetId="84">'424'!$D$20,'424'!$D$22,'424'!$D$24,'424'!$D$26</definedName>
    <definedName name="OSRRefD22x_0" localSheetId="85">'425'!$D$21:$D$25,'425'!$D$27,'425'!$D$29,'425'!$D$31,'425'!$D$33:$D$34,'425'!$D$36</definedName>
    <definedName name="OSRRefD22x_0" localSheetId="88">'430'!$D$20:$D$28,'430'!$D$30:$D$39,'430'!$D$41,'430'!$D$43,'430'!$D$45:$D$47,'430'!$D$49:$D$50,'430'!$D$52,'430'!$D$54</definedName>
    <definedName name="OSRRefD22x_0" localSheetId="89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90">'435'!$D$20</definedName>
    <definedName name="OSRRefD22x_0" localSheetId="91">'444'!$D$27:$D$36,'444'!$D$38:$D$47,'444'!$D$49,'444'!$D$51,'444'!$D$53,'444'!$D$55,'444'!$D$57,'444'!$D$59,'444'!$D$61,'444'!$D$63,'444'!$D$65,'444'!$D$67:$D$70,'444'!$D$72:$D$75,'444'!$D$77,'444'!$D$79:$D$87,'444'!$D$89:$D$90,'444'!$D$92,'444'!$D$94</definedName>
    <definedName name="OSRRefD22x_0" localSheetId="92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3">'491'!$D$30:$D$38,'491'!$D$40:$D$49,'491'!$D$51,'491'!$D$53,'491'!$D$55,'491'!$D$57:$D$59,'491'!$D$61,'491'!$D$63,'491'!$D$65,'491'!$D$67,'491'!$D$69,'491'!$D$71,'491'!$D$73,'491'!$D$75:$D$78,'491'!$D$80:$D$81,'491'!$D$83:$D$87,'491'!$D$89:$D$90,'491'!$D$92:$D$102,'491'!$D$104:$D$105,'491'!$D$107,'491'!$D$109:$D$111,'491'!$D$113</definedName>
    <definedName name="OSRRefD22x_0" localSheetId="87">'492'!$D$27:$D$36,'492'!$D$38:$D$47,'492'!$D$49,'492'!$D$51,'492'!$D$53,'492'!$D$55,'492'!$D$57,'492'!$D$59,'492'!$D$61,'492'!$D$63,'492'!$D$65,'492'!$D$67,'492'!$D$69:$D$72,'492'!$D$74:$D$77,'492'!$D$79,'492'!$D$81:$D$90,'492'!$D$92:$D$93,'492'!$D$95,'492'!$D$97:$D$98</definedName>
    <definedName name="OSRRefD22x_0" localSheetId="94">'501'!$D$21:$D$30,'501'!$D$32:$D$41,'501'!$D$43,'501'!$D$45,'501'!$D$47,'501'!$D$49:$D$50,'501'!$D$52,'501'!$D$54,'501'!$D$56,'501'!$D$58:$D$61,'501'!$D$63,'501'!$D$65:$D$66,'501'!$D$68,'501'!$D$70</definedName>
    <definedName name="OSRRefD22x_0" localSheetId="39">'Div 2'!$D$21:$D$31,'Div 2'!$D$33:$D$42,'Div 2'!$D$44,'Div 2'!$D$46,'Div 2'!$D$48,'Div 2'!$D$50:$D$51,'Div 2'!$D$53:$D$54,'Div 2'!$D$56,'Div 2'!$D$58,'Div 2'!$D$60:$D$61,'Div 2'!$D$63,'Div 2'!$D$65:$D$66,'Div 2'!$D$68:$D$71,'Div 2'!$D$73:$D$76,'Div 2'!$D$78:$D$79,'Div 2'!$D$81:$D$82,'Div 2'!$D$84:$D$88,'Div 2'!$D$90:$D$91,'Div 2'!$D$93,'Div 2'!$D$95:$D$96</definedName>
    <definedName name="OSRRefD22x_0" localSheetId="47">'Div 3'!$D$128:$D$137,'Div 3'!$D$139:$D$148,'Div 3'!$D$150,'Div 3'!$D$152:$D$153,'Div 3'!$D$155,'Div 3'!$D$157:$D$158,'Div 3'!$D$160:$D$161,'Div 3'!$D$163:$D$164,'Div 3'!$D$166,'Div 3'!$D$168,'Div 3'!$D$170:$D$171,'Div 3'!$D$173:$D$175,'Div 3'!$D$177,'Div 3'!$D$179,'Div 3'!$D$181:$D$182,'Div 3'!$D$184,'Div 3'!$D$186,'Div 3'!$D$188:$D$191,'Div 3'!$D$193:$D$196,'Div 3'!$D$198:$D$202,'Div 3'!$D$204:$D$205,'Div 3'!$D$207:$D$215,'Div 3'!$D$217:$D$218,'Div 3'!$D$220,'Div 3'!$D$222:$D$224,'Div 3'!$D$226</definedName>
    <definedName name="OSRRefD22x_0" localSheetId="71">'Div 4'!$D$32:$D$41,'Div 4'!$D$43:$D$52,'Div 4'!$D$54,'Div 4'!$D$56,'Div 4'!$D$58,'Div 4'!$D$60:$D$62,'Div 4'!$D$64,'Div 4'!$D$66,'Div 4'!$D$68,'Div 4'!$D$70,'Div 4'!$D$72,'Div 4'!$D$74,'Div 4'!$D$76,'Div 4'!$D$78,'Div 4'!$D$80,'Div 4'!$D$82:$D$85,'Div 4'!$D$87:$D$88,'Div 4'!$D$90:$D$94,'Div 4'!$D$96:$D$97,'Div 4'!$D$99:$D$109,'Div 4'!$D$111:$D$112,'Div 4'!$D$114,'Div 4'!$D$116:$D$118,'Div 4'!$D$120</definedName>
    <definedName name="OSRRefD22x_0" localSheetId="93">'Div 5'!$D$21:$D$30,'Div 5'!$D$32:$D$41,'Div 5'!$D$43,'Div 5'!$D$45,'Div 5'!$D$47,'Div 5'!$D$49:$D$50,'Div 5'!$D$52,'Div 5'!$D$54,'Div 5'!$D$56,'Div 5'!$D$58:$D$61,'Div 5'!$D$63,'Div 5'!$D$65:$D$66,'Div 5'!$D$68,'Div 5'!$D$70</definedName>
    <definedName name="OSRRefD22x_0" localSheetId="62">'Div 6'!$D$53:$D$62,'Div 6'!$D$64:$D$73,'Div 6'!$D$75,'Div 6'!$D$77,'Div 6'!$D$79,'Div 6'!$D$81,'Div 6'!$D$83:$D$84,'Div 6'!$D$86,'Div 6'!$D$88,'Div 6'!$D$90:$D$91,'Div 6'!$D$93,'Div 6'!$D$95:$D$98,'Div 6'!$D$100,'Div 6'!$D$102</definedName>
    <definedName name="OSRRefD22x_0" localSheetId="2">Summary!$D$158:$D$167,Summary!$D$169:$D$178,Summary!$D$180,Summary!$D$182:$D$183,Summary!$D$185,Summary!$D$187:$D$189,Summary!$D$191:$D$192,Summary!$D$194:$D$195,Summary!$D$197,Summary!$D$199,Summary!$D$201:$D$202,Summary!$D$204:$D$206,Summary!$D$208,Summary!$D$210,Summary!$D$212:$D$213,Summary!$D$215,Summary!$D$217,Summary!$D$219,Summary!$D$221:$D$224,Summary!$D$226:$D$229,Summary!$D$231:$D$235,Summary!$D$237:$D$238,Summary!$D$240:$D$250,Summary!$D$252:$D$253,Summary!$D$255,Summary!$D$257:$D$259,Summary!$D$261</definedName>
    <definedName name="OSRRefD25x_0" localSheetId="42">'202'!$D$70:$D$72</definedName>
    <definedName name="OSRRefD25x_0" localSheetId="48">'300'!$D$222:$D$226</definedName>
    <definedName name="OSRRefD25x_0" localSheetId="49">'300 &amp; 317'!$D$246:$D$251</definedName>
    <definedName name="OSRRefD25x_0" localSheetId="50">'301'!$D$100:$D$101</definedName>
    <definedName name="OSRRefD25x_0" localSheetId="54">'308'!$D$116:$D$118</definedName>
    <definedName name="OSRRefD25x_0" localSheetId="72">'310 &amp; 491'!$D$123:$D$126</definedName>
    <definedName name="OSRRefD25x_0" localSheetId="55">'311'!$D$115:$D$117</definedName>
    <definedName name="OSRRefD25x_0" localSheetId="58">'315'!$D$148:$D$151</definedName>
    <definedName name="OSRRefD25x_0" localSheetId="61">'316'!$D$81</definedName>
    <definedName name="OSRRefD25x_0" localSheetId="63">'317'!$D$105:$D$106</definedName>
    <definedName name="OSRRefD25x_0" localSheetId="57">'331'!$D$166:$D$169</definedName>
    <definedName name="OSRRefD25x_0" localSheetId="60">'332'!$D$83:$D$84</definedName>
    <definedName name="OSRRefD25x_0" localSheetId="76">'411'!$D$84:$D$85</definedName>
    <definedName name="OSRRefD25x_0" localSheetId="81">'418'!$D$84</definedName>
    <definedName name="OSRRefD25x_0" localSheetId="83">'423'!$D$52:$D$54</definedName>
    <definedName name="OSRRefD25x_0" localSheetId="86">'455'!$D$21:$D$22</definedName>
    <definedName name="OSRRefD25x_0" localSheetId="73">'491'!$D$116:$D$119</definedName>
    <definedName name="OSRRefD25x_0" localSheetId="94">'501'!$D$73</definedName>
    <definedName name="OSRRefD25x_0" localSheetId="39">'Div 2'!$D$99:$D$101</definedName>
    <definedName name="OSRRefD25x_0" localSheetId="47">'Div 3'!$D$229:$D$233</definedName>
    <definedName name="OSRRefD25x_0" localSheetId="71">'Div 4'!$D$123:$D$126</definedName>
    <definedName name="OSRRefD25x_0" localSheetId="93">'Div 5'!$D$73</definedName>
    <definedName name="OSRRefD25x_0" localSheetId="62">'Div 6'!$D$105:$D$106</definedName>
    <definedName name="OSRRefD25x_0" localSheetId="2">Summary!$D$264:$D$271</definedName>
    <definedName name="OSRRefH13x_0" localSheetId="41">'201'!$H$13</definedName>
    <definedName name="OSRRefH13x_0" localSheetId="42">'202'!$H$13</definedName>
    <definedName name="OSRRefH13x_0" localSheetId="48">'300'!$H$13:$H$77</definedName>
    <definedName name="OSRRefH13x_0" localSheetId="49">'300 &amp; 317'!$H$13:$H$92</definedName>
    <definedName name="OSRRefH13x_0" localSheetId="53">'307'!$H$13:$H$23</definedName>
    <definedName name="OSRRefH13x_0" localSheetId="54">'308'!$H$13:$H$35</definedName>
    <definedName name="OSRRefH13x_0" localSheetId="65">'309'!$H$13</definedName>
    <definedName name="OSRRefH13x_0" localSheetId="64">'310'!$H$13:$H$20</definedName>
    <definedName name="OSRRefH13x_0" localSheetId="72">'310 &amp; 491'!$H$13:$H$25</definedName>
    <definedName name="OSRRefH13x_0" localSheetId="55">'311'!$H$13:$H$34</definedName>
    <definedName name="OSRRefH13x_0" localSheetId="66">'313'!$H$13:$H$17</definedName>
    <definedName name="OSRRefH13x_0" localSheetId="58">'315'!$H$13:$H$50</definedName>
    <definedName name="OSRRefH13x_0" localSheetId="61">'316'!$H$13:$H$24</definedName>
    <definedName name="OSRRefH13x_0" localSheetId="63">'317'!$H$13:$H$31</definedName>
    <definedName name="OSRRefH13x_0" localSheetId="67">'321'!$H$13:$H$15</definedName>
    <definedName name="OSRRefH13x_0" localSheetId="68">'322'!$H$13</definedName>
    <definedName name="OSRRefH13x_0" localSheetId="56">'324'!$H$13:$H$16</definedName>
    <definedName name="OSRRefH13x_0" localSheetId="69">'325'!$H$13:$H$14</definedName>
    <definedName name="OSRRefH13x_0" localSheetId="59">'326'!$H$13:$H$33</definedName>
    <definedName name="OSRRefH13x_0" localSheetId="70">'327'!$H$13:$H$14</definedName>
    <definedName name="OSRRefH13x_0" localSheetId="52">'330'!$H$13:$H$26</definedName>
    <definedName name="OSRRefH13x_0" localSheetId="57">'331'!$H$13:$H$50</definedName>
    <definedName name="OSRRefH13x_0" localSheetId="60">'332'!$H$13:$H$24</definedName>
    <definedName name="OSRRefH13x_0" localSheetId="74">'405'!$H$13:$H$14</definedName>
    <definedName name="OSRRefH13x_0" localSheetId="77">'412'!$H$13</definedName>
    <definedName name="OSRRefH13x_0" localSheetId="78">'413'!$H$13:$H$14</definedName>
    <definedName name="OSRRefH13x_0" localSheetId="79">'414'!$H$13:$H$15</definedName>
    <definedName name="OSRRefH13x_0" localSheetId="80">'415'!$H$13:$H$16</definedName>
    <definedName name="OSRRefH13x_0" localSheetId="81">'418'!$H$13:$H$14</definedName>
    <definedName name="OSRRefH13x_0" localSheetId="82">'420'!$H$13:$H$14</definedName>
    <definedName name="OSRRefH13x_0" localSheetId="89">'433'!$H$13:$H$16</definedName>
    <definedName name="OSRRefH13x_0" localSheetId="91">'444'!$H$13:$H$16</definedName>
    <definedName name="OSRRefH13x_0" localSheetId="92">'450'!$H$13:$H$14</definedName>
    <definedName name="OSRRefH13x_0" localSheetId="73">'491'!$H$13:$H$19</definedName>
    <definedName name="OSRRefH13x_0" localSheetId="87">'492'!$H$13:$H$16</definedName>
    <definedName name="OSRRefH13x_0" localSheetId="94">'501'!$H$13</definedName>
    <definedName name="OSRRefH13x_0" localSheetId="39">'Div 2'!$H$13</definedName>
    <definedName name="OSRRefH13x_0" localSheetId="47">'Div 3'!$H$13:$H$79</definedName>
    <definedName name="OSRRefH13x_0" localSheetId="71">'Div 4'!$H$13:$H$21</definedName>
    <definedName name="OSRRefH13x_0" localSheetId="93">'Div 5'!$H$13</definedName>
    <definedName name="OSRRefH13x_0" localSheetId="62">'Div 6'!$H$13:$H$31</definedName>
    <definedName name="OSRRefH13x_0" localSheetId="2">Summary!$H$13:$H$100</definedName>
    <definedName name="OSRRefH16x_0" localSheetId="48">'300'!$H$80:$H$118</definedName>
    <definedName name="OSRRefH16x_0" localSheetId="49">'300 &amp; 317'!$H$95:$H$142</definedName>
    <definedName name="OSRRefH16x_0" localSheetId="50">'301'!$H$15</definedName>
    <definedName name="OSRRefH16x_0" localSheetId="53">'307'!$H$26:$H$33</definedName>
    <definedName name="OSRRefH16x_0" localSheetId="54">'308'!$H$38:$H$53</definedName>
    <definedName name="OSRRefH16x_0" localSheetId="65">'309'!$H$16</definedName>
    <definedName name="OSRRefH16x_0" localSheetId="64">'310'!$H$23:$H$25</definedName>
    <definedName name="OSRRefH16x_0" localSheetId="72">'310 &amp; 491'!$H$28:$H$30</definedName>
    <definedName name="OSRRefH16x_0" localSheetId="55">'311'!$H$37:$H$52</definedName>
    <definedName name="OSRRefH16x_0" localSheetId="66">'313'!$H$20:$H$21</definedName>
    <definedName name="OSRRefH16x_0" localSheetId="58">'315'!$H$53:$H$75</definedName>
    <definedName name="OSRRefH16x_0" localSheetId="63">'317'!$H$34:$H$47</definedName>
    <definedName name="OSRRefH16x_0" localSheetId="67">'321'!$H$18:$H$20</definedName>
    <definedName name="OSRRefH16x_0" localSheetId="68">'322'!$H$16:$H$17</definedName>
    <definedName name="OSRRefH16x_0" localSheetId="56">'324'!$H$19:$H$21</definedName>
    <definedName name="OSRRefH16x_0" localSheetId="69">'325'!$H$17:$H$19</definedName>
    <definedName name="OSRRefH16x_0" localSheetId="59">'326'!$H$36:$H$42</definedName>
    <definedName name="OSRRefH16x_0" localSheetId="70">'327'!$H$17:$H$18</definedName>
    <definedName name="OSRRefH16x_0" localSheetId="52">'330'!$H$29:$H$36</definedName>
    <definedName name="OSRRefH16x_0" localSheetId="57">'331'!$H$53:$H$76</definedName>
    <definedName name="OSRRefH16x_0" localSheetId="60">'332'!$H$27:$H$28</definedName>
    <definedName name="OSRRefH16x_0" localSheetId="74">'405'!$H$17:$H$18</definedName>
    <definedName name="OSRRefH16x_0" localSheetId="77">'412'!$H$16</definedName>
    <definedName name="OSRRefH16x_0" localSheetId="78">'413'!$H$17</definedName>
    <definedName name="OSRRefH16x_0" localSheetId="79">'414'!$H$18:$H$19</definedName>
    <definedName name="OSRRefH16x_0" localSheetId="80">'415'!$H$19:$H$21</definedName>
    <definedName name="OSRRefH16x_0" localSheetId="81">'418'!$H$17:$H$18</definedName>
    <definedName name="OSRRefH16x_0" localSheetId="85">'425'!$H$15</definedName>
    <definedName name="OSRRefH16x_0" localSheetId="89">'433'!$H$19:$H$21</definedName>
    <definedName name="OSRRefH16x_0" localSheetId="91">'444'!$H$19:$H$21</definedName>
    <definedName name="OSRRefH16x_0" localSheetId="92">'450'!$H$17</definedName>
    <definedName name="OSRRefH16x_0" localSheetId="73">'491'!$H$22:$H$24</definedName>
    <definedName name="OSRRefH16x_0" localSheetId="87">'492'!$H$19:$H$21</definedName>
    <definedName name="OSRRefH16x_0" localSheetId="47">'Div 3'!$H$82:$H$122</definedName>
    <definedName name="OSRRefH16x_0" localSheetId="71">'Div 4'!$H$24:$H$26</definedName>
    <definedName name="OSRRefH16x_0" localSheetId="62">'Div 6'!$H$34:$H$47</definedName>
    <definedName name="OSRRefH16x_0" localSheetId="2">Summary!$H$103:$H$152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'300'!$H$124:$H$133</definedName>
    <definedName name="OSRRefH22_0x_0" localSheetId="49">'300 &amp; 317'!$H$148:$H$157</definedName>
    <definedName name="OSRRefH22_0x_0" localSheetId="50">'301'!$H$21:$H$30</definedName>
    <definedName name="OSRRefH22_0x_0" localSheetId="51">'306'!$H$20:$H$28</definedName>
    <definedName name="OSRRefH22_0x_0" localSheetId="53">'307'!$H$39:$H$46</definedName>
    <definedName name="OSRRefH22_0x_0" localSheetId="54">'308'!$H$59:$H$68</definedName>
    <definedName name="OSRRefH22_0x_0" localSheetId="65">'309'!$H$22:$H$29</definedName>
    <definedName name="OSRRefH22_0x_0" localSheetId="64">'310'!$H$31:$H$39</definedName>
    <definedName name="OSRRefH22_0x_0" localSheetId="72">'310 &amp; 491'!$H$36:$H$44</definedName>
    <definedName name="OSRRefH22_0x_0" localSheetId="55">'311'!$H$58:$H$67</definedName>
    <definedName name="OSRRefH22_0x_0" localSheetId="66">'313'!$H$27:$H$35</definedName>
    <definedName name="OSRRefH22_0x_0" localSheetId="58">'315'!$H$81:$H$89</definedName>
    <definedName name="OSRRefH22_0x_0" localSheetId="61">'316'!$H$32:$H$40</definedName>
    <definedName name="OSRRefH22_0x_0" localSheetId="63">'317'!$H$53:$H$62</definedName>
    <definedName name="OSRRefH22_0x_0" localSheetId="67">'321'!$H$26:$H$34</definedName>
    <definedName name="OSRRefH22_0x_0" localSheetId="68">'322'!$H$23:$H$30</definedName>
    <definedName name="OSRRefH22_0x_0" localSheetId="56">'324'!$H$27:$H$34</definedName>
    <definedName name="OSRRefH22_0x_0" localSheetId="69">'325'!$H$25:$H$32</definedName>
    <definedName name="OSRRefH22_0x_0" localSheetId="59">'326'!$H$48:$H$56</definedName>
    <definedName name="OSRRefH22_0x_0" localSheetId="70">'327'!$H$24</definedName>
    <definedName name="OSRRefH22_0x_0" localSheetId="52">'330'!$H$42:$H$50</definedName>
    <definedName name="OSRRefH22_0x_0" localSheetId="57">'331'!$H$82:$H$90</definedName>
    <definedName name="OSRRefH22_0x_0" localSheetId="60">'332'!$H$34:$H$42</definedName>
    <definedName name="OSRRefH22_0x_0" localSheetId="74">'405'!$H$24:$H$31</definedName>
    <definedName name="OSRRefH22_0x_0" localSheetId="75">'406'!$H$20</definedName>
    <definedName name="OSRRefH22_0x_0" localSheetId="76">'411'!$H$20:$H$28</definedName>
    <definedName name="OSRRefH22_0x_0" localSheetId="77">'412'!$H$22:$H$29</definedName>
    <definedName name="OSRRefH22_0x_0" localSheetId="78">'413'!$H$23:$H$31</definedName>
    <definedName name="OSRRefH22_0x_0" localSheetId="79">'414'!$H$25:$H$33</definedName>
    <definedName name="OSRRefH22_0x_0" localSheetId="80">'415'!$H$27:$H$35</definedName>
    <definedName name="OSRRefH22_0x_0" localSheetId="81">'418'!$H$24:$H$31</definedName>
    <definedName name="OSRRefH22_0x_0" localSheetId="82">'420'!$H$22</definedName>
    <definedName name="OSRRefH22_0x_0" localSheetId="83">'423'!$H$20:$H$27</definedName>
    <definedName name="OSRRefH22_0x_0" localSheetId="84">'424'!$H$20</definedName>
    <definedName name="OSRRefH22_0x_0" localSheetId="85">'425'!$H$21:$H$25</definedName>
    <definedName name="OSRRefH22_0x_0" localSheetId="88">'430'!$H$20:$H$28</definedName>
    <definedName name="OSRRefH22_0x_0" localSheetId="89">'433'!$H$27:$H$36</definedName>
    <definedName name="OSRRefH22_0x_0" localSheetId="90">'435'!$H$20</definedName>
    <definedName name="OSRRefH22_0x_0" localSheetId="91">'444'!$H$27:$H$36</definedName>
    <definedName name="OSRRefH22_0x_0" localSheetId="92">'450'!$H$23:$H$32</definedName>
    <definedName name="OSRRefH22_0x_0" localSheetId="73">'491'!$H$30:$H$38</definedName>
    <definedName name="OSRRefH22_0x_0" localSheetId="87">'492'!$H$27:$H$36</definedName>
    <definedName name="OSRRefH22_0x_0" localSheetId="94">'501'!$H$21:$H$30</definedName>
    <definedName name="OSRRefH22_0x_0" localSheetId="39">'Div 2'!$H$21:$H$31</definedName>
    <definedName name="OSRRefH22_0x_0" localSheetId="47">'Div 3'!$H$128:$H$137</definedName>
    <definedName name="OSRRefH22_0x_0" localSheetId="71">'Div 4'!$H$32:$H$41</definedName>
    <definedName name="OSRRefH22_0x_0" localSheetId="93">'Div 5'!$H$21:$H$30</definedName>
    <definedName name="OSRRefH22_0x_0" localSheetId="62">'Div 6'!$H$53:$H$62</definedName>
    <definedName name="OSRRefH22_0x_0" localSheetId="2">Summary!$H$158:$H$167</definedName>
    <definedName name="OSRRefH22_10x_0" localSheetId="41">'201'!$H$59:$H$61</definedName>
    <definedName name="OSRRefH22_10x_0" localSheetId="42">'202'!$H$63</definedName>
    <definedName name="OSRRefH22_10x_0" localSheetId="43">'203'!$H$62</definedName>
    <definedName name="OSRRefH22_10x_0" localSheetId="44">'204'!$H$62:$H$63</definedName>
    <definedName name="OSRRefH22_10x_0" localSheetId="48">'300'!$H$166:$H$167</definedName>
    <definedName name="OSRRefH22_10x_0" localSheetId="49">'300 &amp; 317'!$H$190:$H$191</definedName>
    <definedName name="OSRRefH22_10x_0" localSheetId="50">'301'!$H$61</definedName>
    <definedName name="OSRRefH22_10x_0" localSheetId="51">'306'!$H$59</definedName>
    <definedName name="OSRRefH22_10x_0" localSheetId="53">'307'!$H$77:$H$78</definedName>
    <definedName name="OSRRefH22_10x_0" localSheetId="54">'308'!$H$101:$H$102</definedName>
    <definedName name="OSRRefH22_10x_0" localSheetId="65">'309'!$H$62</definedName>
    <definedName name="OSRRefH22_10x_0" localSheetId="64">'310'!$H$69</definedName>
    <definedName name="OSRRefH22_10x_0" localSheetId="72">'310 &amp; 491'!$H$76</definedName>
    <definedName name="OSRRefH22_10x_0" localSheetId="55">'311'!$H$100:$H$101</definedName>
    <definedName name="OSRRefH22_10x_0" localSheetId="66">'313'!$H$68</definedName>
    <definedName name="OSRRefH22_10x_0" localSheetId="58">'315'!$H$121</definedName>
    <definedName name="OSRRefH22_10x_0" localSheetId="61">'316'!$H$76</definedName>
    <definedName name="OSRRefH22_10x_0" localSheetId="63">'317'!$H$93</definedName>
    <definedName name="OSRRefH22_10x_0" localSheetId="67">'321'!$H$66:$H$68</definedName>
    <definedName name="OSRRefH22_10x_0" localSheetId="68">'322'!$H$64</definedName>
    <definedName name="OSRRefH22_10x_0" localSheetId="69">'325'!$H$62</definedName>
    <definedName name="OSRRefH22_10x_0" localSheetId="59">'326'!$H$86</definedName>
    <definedName name="OSRRefH22_10x_0" localSheetId="52">'330'!$H$81:$H$82</definedName>
    <definedName name="OSRRefH22_10x_0" localSheetId="57">'331'!$H$122</definedName>
    <definedName name="OSRRefH22_10x_0" localSheetId="60">'332'!$H$78</definedName>
    <definedName name="OSRRefH22_10x_0" localSheetId="74">'405'!$H$62</definedName>
    <definedName name="OSRRefH22_10x_0" localSheetId="76">'411'!$H$61:$H$64</definedName>
    <definedName name="OSRRefH22_10x_0" localSheetId="77">'412'!$H$60:$H$63</definedName>
    <definedName name="OSRRefH22_10x_0" localSheetId="78">'413'!$H$64:$H$71</definedName>
    <definedName name="OSRRefH22_10x_0" localSheetId="79">'414'!$H$63</definedName>
    <definedName name="OSRRefH22_10x_0" localSheetId="80">'415'!$H$65</definedName>
    <definedName name="OSRRefH22_10x_0" localSheetId="81">'418'!$H$64:$H$65</definedName>
    <definedName name="OSRRefH22_10x_0" localSheetId="89">'433'!$H$65</definedName>
    <definedName name="OSRRefH22_10x_0" localSheetId="91">'444'!$H$65</definedName>
    <definedName name="OSRRefH22_10x_0" localSheetId="92">'450'!$H$61</definedName>
    <definedName name="OSRRefH22_10x_0" localSheetId="73">'491'!$H$69</definedName>
    <definedName name="OSRRefH22_10x_0" localSheetId="87">'492'!$H$65</definedName>
    <definedName name="OSRRefH22_10x_0" localSheetId="94">'501'!$H$63</definedName>
    <definedName name="OSRRefH22_10x_0" localSheetId="39">'Div 2'!$H$63</definedName>
    <definedName name="OSRRefH22_10x_0" localSheetId="47">'Div 3'!$H$170:$H$171</definedName>
    <definedName name="OSRRefH22_10x_0" localSheetId="71">'Div 4'!$H$72</definedName>
    <definedName name="OSRRefH22_10x_0" localSheetId="93">'Div 5'!$H$63</definedName>
    <definedName name="OSRRefH22_10x_0" localSheetId="62">'Div 6'!$H$93</definedName>
    <definedName name="OSRRefH22_10x_0" localSheetId="2">Summary!$H$201:$H$202</definedName>
    <definedName name="OSRRefH22_11x_0" localSheetId="41">'201'!$H$63:$H$64</definedName>
    <definedName name="OSRRefH22_11x_0" localSheetId="42">'202'!$H$65</definedName>
    <definedName name="OSRRefH22_11x_0" localSheetId="43">'203'!$H$64:$H$66</definedName>
    <definedName name="OSRRefH22_11x_0" localSheetId="44">'204'!$H$65</definedName>
    <definedName name="OSRRefH22_11x_0" localSheetId="48">'300'!$H$169:$H$171</definedName>
    <definedName name="OSRRefH22_11x_0" localSheetId="49">'300 &amp; 317'!$H$193:$H$195</definedName>
    <definedName name="OSRRefH22_11x_0" localSheetId="50">'301'!$H$63</definedName>
    <definedName name="OSRRefH22_11x_0" localSheetId="53">'307'!$H$80:$H$83</definedName>
    <definedName name="OSRRefH22_11x_0" localSheetId="54">'308'!$H$104:$H$106</definedName>
    <definedName name="OSRRefH22_11x_0" localSheetId="64">'310'!$H$71</definedName>
    <definedName name="OSRRefH22_11x_0" localSheetId="72">'310 &amp; 491'!$H$78</definedName>
    <definedName name="OSRRefH22_11x_0" localSheetId="55">'311'!$H$103:$H$105</definedName>
    <definedName name="OSRRefH22_11x_0" localSheetId="66">'313'!$H$70</definedName>
    <definedName name="OSRRefH22_11x_0" localSheetId="58">'315'!$H$123</definedName>
    <definedName name="OSRRefH22_11x_0" localSheetId="61">'316'!$H$78</definedName>
    <definedName name="OSRRefH22_11x_0" localSheetId="63">'317'!$H$95:$H$98</definedName>
    <definedName name="OSRRefH22_11x_0" localSheetId="67">'321'!$H$70:$H$71</definedName>
    <definedName name="OSRRefH22_11x_0" localSheetId="68">'322'!$H$66</definedName>
    <definedName name="OSRRefH22_11x_0" localSheetId="69">'325'!$H$64:$H$67</definedName>
    <definedName name="OSRRefH22_11x_0" localSheetId="59">'326'!$H$88</definedName>
    <definedName name="OSRRefH22_11x_0" localSheetId="52">'330'!$H$84:$H$87</definedName>
    <definedName name="OSRRefH22_11x_0" localSheetId="57">'331'!$H$124:$H$125</definedName>
    <definedName name="OSRRefH22_11x_0" localSheetId="60">'332'!$H$80</definedName>
    <definedName name="OSRRefH22_11x_0" localSheetId="74">'405'!$H$64:$H$67</definedName>
    <definedName name="OSRRefH22_11x_0" localSheetId="76">'411'!$H$66:$H$67</definedName>
    <definedName name="OSRRefH22_11x_0" localSheetId="77">'412'!$H$65:$H$69</definedName>
    <definedName name="OSRRefH22_11x_0" localSheetId="78">'413'!$H$73:$H$74</definedName>
    <definedName name="OSRRefH22_11x_0" localSheetId="79">'414'!$H$65</definedName>
    <definedName name="OSRRefH22_11x_0" localSheetId="80">'415'!$H$67:$H$68</definedName>
    <definedName name="OSRRefH22_11x_0" localSheetId="81">'418'!$H$67:$H$76</definedName>
    <definedName name="OSRRefH22_11x_0" localSheetId="89">'433'!$H$67:$H$69</definedName>
    <definedName name="OSRRefH22_11x_0" localSheetId="91">'444'!$H$67:$H$70</definedName>
    <definedName name="OSRRefH22_11x_0" localSheetId="92">'450'!$H$63</definedName>
    <definedName name="OSRRefH22_11x_0" localSheetId="73">'491'!$H$71</definedName>
    <definedName name="OSRRefH22_11x_0" localSheetId="87">'492'!$H$67</definedName>
    <definedName name="OSRRefH22_11x_0" localSheetId="94">'501'!$H$65:$H$66</definedName>
    <definedName name="OSRRefH22_11x_0" localSheetId="39">'Div 2'!$H$65:$H$66</definedName>
    <definedName name="OSRRefH22_11x_0" localSheetId="47">'Div 3'!$H$173:$H$175</definedName>
    <definedName name="OSRRefH22_11x_0" localSheetId="71">'Div 4'!$H$74</definedName>
    <definedName name="OSRRefH22_11x_0" localSheetId="93">'Div 5'!$H$65:$H$66</definedName>
    <definedName name="OSRRefH22_11x_0" localSheetId="62">'Div 6'!$H$95:$H$98</definedName>
    <definedName name="OSRRefH22_11x_0" localSheetId="2">Summary!$H$204:$H$206</definedName>
    <definedName name="OSRRefH22_12x_0" localSheetId="41">'201'!$H$66</definedName>
    <definedName name="OSRRefH22_12x_0" localSheetId="42">'202'!$H$67</definedName>
    <definedName name="OSRRefH22_12x_0" localSheetId="43">'203'!$H$68</definedName>
    <definedName name="OSRRefH22_12x_0" localSheetId="44">'204'!$H$67</definedName>
    <definedName name="OSRRefH22_12x_0" localSheetId="48">'300'!$H$173</definedName>
    <definedName name="OSRRefH22_12x_0" localSheetId="49">'300 &amp; 317'!$H$197</definedName>
    <definedName name="OSRRefH22_12x_0" localSheetId="50">'301'!$H$65</definedName>
    <definedName name="OSRRefH22_12x_0" localSheetId="53">'307'!$H$85:$H$86</definedName>
    <definedName name="OSRRefH22_12x_0" localSheetId="54">'308'!$H$108:$H$109</definedName>
    <definedName name="OSRRefH22_12x_0" localSheetId="64">'310'!$H$73</definedName>
    <definedName name="OSRRefH22_12x_0" localSheetId="72">'310 &amp; 491'!$H$80</definedName>
    <definedName name="OSRRefH22_12x_0" localSheetId="55">'311'!$H$107:$H$108</definedName>
    <definedName name="OSRRefH22_12x_0" localSheetId="58">'315'!$H$125:$H$127</definedName>
    <definedName name="OSRRefH22_12x_0" localSheetId="63">'317'!$H$100</definedName>
    <definedName name="OSRRefH22_12x_0" localSheetId="67">'321'!$H$73</definedName>
    <definedName name="OSRRefH22_12x_0" localSheetId="69">'325'!$H$69:$H$71</definedName>
    <definedName name="OSRRefH22_12x_0" localSheetId="59">'326'!$H$90</definedName>
    <definedName name="OSRRefH22_12x_0" localSheetId="52">'330'!$H$89:$H$90</definedName>
    <definedName name="OSRRefH22_12x_0" localSheetId="57">'331'!$H$127</definedName>
    <definedName name="OSRRefH22_12x_0" localSheetId="74">'405'!$H$69</definedName>
    <definedName name="OSRRefH22_12x_0" localSheetId="76">'411'!$H$69:$H$75</definedName>
    <definedName name="OSRRefH22_12x_0" localSheetId="77">'412'!$H$71:$H$72</definedName>
    <definedName name="OSRRefH22_12x_0" localSheetId="78">'413'!$H$76</definedName>
    <definedName name="OSRRefH22_12x_0" localSheetId="79">'414'!$H$67:$H$69</definedName>
    <definedName name="OSRRefH22_12x_0" localSheetId="80">'415'!$H$70:$H$74</definedName>
    <definedName name="OSRRefH22_12x_0" localSheetId="81">'418'!$H$78:$H$79</definedName>
    <definedName name="OSRRefH22_12x_0" localSheetId="89">'433'!$H$71:$H$74</definedName>
    <definedName name="OSRRefH22_12x_0" localSheetId="91">'444'!$H$72:$H$75</definedName>
    <definedName name="OSRRefH22_12x_0" localSheetId="92">'450'!$H$65</definedName>
    <definedName name="OSRRefH22_12x_0" localSheetId="73">'491'!$H$73</definedName>
    <definedName name="OSRRefH22_12x_0" localSheetId="87">'492'!$H$69:$H$72</definedName>
    <definedName name="OSRRefH22_12x_0" localSheetId="94">'501'!$H$68</definedName>
    <definedName name="OSRRefH22_12x_0" localSheetId="39">'Div 2'!$H$68:$H$71</definedName>
    <definedName name="OSRRefH22_12x_0" localSheetId="47">'Div 3'!$H$177</definedName>
    <definedName name="OSRRefH22_12x_0" localSheetId="71">'Div 4'!$H$76</definedName>
    <definedName name="OSRRefH22_12x_0" localSheetId="93">'Div 5'!$H$68</definedName>
    <definedName name="OSRRefH22_12x_0" localSheetId="62">'Div 6'!$H$100</definedName>
    <definedName name="OSRRefH22_12x_0" localSheetId="2">Summary!$H$208</definedName>
    <definedName name="OSRRefH22_13x_0" localSheetId="41">'201'!$H$68:$H$70</definedName>
    <definedName name="OSRRefH22_13x_0" localSheetId="43">'203'!$H$70</definedName>
    <definedName name="OSRRefH22_13x_0" localSheetId="48">'300'!$H$175:$H$176</definedName>
    <definedName name="OSRRefH22_13x_0" localSheetId="49">'300 &amp; 317'!$H$199:$H$200</definedName>
    <definedName name="OSRRefH22_13x_0" localSheetId="50">'301'!$H$67</definedName>
    <definedName name="OSRRefH22_13x_0" localSheetId="53">'307'!$H$88</definedName>
    <definedName name="OSRRefH22_13x_0" localSheetId="54">'308'!$H$111</definedName>
    <definedName name="OSRRefH22_13x_0" localSheetId="64">'310'!$H$75:$H$78</definedName>
    <definedName name="OSRRefH22_13x_0" localSheetId="72">'310 &amp; 491'!$H$82:$H$85</definedName>
    <definedName name="OSRRefH22_13x_0" localSheetId="55">'311'!$H$110</definedName>
    <definedName name="OSRRefH22_13x_0" localSheetId="58">'315'!$H$129:$H$130</definedName>
    <definedName name="OSRRefH22_13x_0" localSheetId="63">'317'!$H$102</definedName>
    <definedName name="OSRRefH22_13x_0" localSheetId="67">'321'!$H$75</definedName>
    <definedName name="OSRRefH22_13x_0" localSheetId="69">'325'!$H$73</definedName>
    <definedName name="OSRRefH22_13x_0" localSheetId="59">'326'!$H$92:$H$94</definedName>
    <definedName name="OSRRefH22_13x_0" localSheetId="52">'330'!$H$92</definedName>
    <definedName name="OSRRefH22_13x_0" localSheetId="57">'331'!$H$129</definedName>
    <definedName name="OSRRefH22_13x_0" localSheetId="74">'405'!$H$71:$H$79</definedName>
    <definedName name="OSRRefH22_13x_0" localSheetId="76">'411'!$H$77</definedName>
    <definedName name="OSRRefH22_13x_0" localSheetId="77">'412'!$H$74</definedName>
    <definedName name="OSRRefH22_13x_0" localSheetId="79">'414'!$H$71</definedName>
    <definedName name="OSRRefH22_13x_0" localSheetId="80">'415'!$H$76</definedName>
    <definedName name="OSRRefH22_13x_0" localSheetId="81">'418'!$H$81</definedName>
    <definedName name="OSRRefH22_13x_0" localSheetId="89">'433'!$H$76:$H$83</definedName>
    <definedName name="OSRRefH22_13x_0" localSheetId="91">'444'!$H$77</definedName>
    <definedName name="OSRRefH22_13x_0" localSheetId="92">'450'!$H$67:$H$69</definedName>
    <definedName name="OSRRefH22_13x_0" localSheetId="73">'491'!$H$75:$H$78</definedName>
    <definedName name="OSRRefH22_13x_0" localSheetId="87">'492'!$H$74:$H$77</definedName>
    <definedName name="OSRRefH22_13x_0" localSheetId="94">'501'!$H$70</definedName>
    <definedName name="OSRRefH22_13x_0" localSheetId="39">'Div 2'!$H$73:$H$76</definedName>
    <definedName name="OSRRefH22_13x_0" localSheetId="47">'Div 3'!$H$179</definedName>
    <definedName name="OSRRefH22_13x_0" localSheetId="71">'Div 4'!$H$78</definedName>
    <definedName name="OSRRefH22_13x_0" localSheetId="93">'Div 5'!$H$70</definedName>
    <definedName name="OSRRefH22_13x_0" localSheetId="62">'Div 6'!$H$102</definedName>
    <definedName name="OSRRefH22_13x_0" localSheetId="2">Summary!$H$210</definedName>
    <definedName name="OSRRefH22_14x_0" localSheetId="41">'201'!$H$72</definedName>
    <definedName name="OSRRefH22_14x_0" localSheetId="43">'203'!$H$72</definedName>
    <definedName name="OSRRefH22_14x_0" localSheetId="48">'300'!$H$178</definedName>
    <definedName name="OSRRefH22_14x_0" localSheetId="49">'300 &amp; 317'!$H$202</definedName>
    <definedName name="OSRRefH22_14x_0" localSheetId="50">'301'!$H$69</definedName>
    <definedName name="OSRRefH22_14x_0" localSheetId="54">'308'!$H$113</definedName>
    <definedName name="OSRRefH22_14x_0" localSheetId="64">'310'!$H$80:$H$81</definedName>
    <definedName name="OSRRefH22_14x_0" localSheetId="72">'310 &amp; 491'!$H$87:$H$88</definedName>
    <definedName name="OSRRefH22_14x_0" localSheetId="55">'311'!$H$112</definedName>
    <definedName name="OSRRefH22_14x_0" localSheetId="58">'315'!$H$132:$H$138</definedName>
    <definedName name="OSRRefH22_14x_0" localSheetId="69">'325'!$H$75:$H$79</definedName>
    <definedName name="OSRRefH22_14x_0" localSheetId="59">'326'!$H$96:$H$98</definedName>
    <definedName name="OSRRefH22_14x_0" localSheetId="57">'331'!$H$131:$H$133</definedName>
    <definedName name="OSRRefH22_14x_0" localSheetId="74">'405'!$H$81</definedName>
    <definedName name="OSRRefH22_14x_0" localSheetId="76">'411'!$H$79</definedName>
    <definedName name="OSRRefH22_14x_0" localSheetId="79">'414'!$H$73</definedName>
    <definedName name="OSRRefH22_14x_0" localSheetId="80">'415'!$H$78:$H$85</definedName>
    <definedName name="OSRRefH22_14x_0" localSheetId="89">'433'!$H$85</definedName>
    <definedName name="OSRRefH22_14x_0" localSheetId="91">'444'!$H$79:$H$87</definedName>
    <definedName name="OSRRefH22_14x_0" localSheetId="92">'450'!$H$71:$H$77</definedName>
    <definedName name="OSRRefH22_14x_0" localSheetId="73">'491'!$H$80:$H$81</definedName>
    <definedName name="OSRRefH22_14x_0" localSheetId="87">'492'!$H$79</definedName>
    <definedName name="OSRRefH22_14x_0" localSheetId="39">'Div 2'!$H$78:$H$79</definedName>
    <definedName name="OSRRefH22_14x_0" localSheetId="47">'Div 3'!$H$181:$H$182</definedName>
    <definedName name="OSRRefH22_14x_0" localSheetId="71">'Div 4'!$H$80</definedName>
    <definedName name="OSRRefH22_14x_0" localSheetId="2">Summary!$H$212:$H$213</definedName>
    <definedName name="OSRRefH22_15x_0" localSheetId="41">'201'!$H$74</definedName>
    <definedName name="OSRRefH22_15x_0" localSheetId="48">'300'!$H$180</definedName>
    <definedName name="OSRRefH22_15x_0" localSheetId="49">'300 &amp; 317'!$H$204</definedName>
    <definedName name="OSRRefH22_15x_0" localSheetId="50">'301'!$H$71:$H$74</definedName>
    <definedName name="OSRRefH22_15x_0" localSheetId="64">'310'!$H$83:$H$86</definedName>
    <definedName name="OSRRefH22_15x_0" localSheetId="72">'310 &amp; 491'!$H$90:$H$94</definedName>
    <definedName name="OSRRefH22_15x_0" localSheetId="58">'315'!$H$140</definedName>
    <definedName name="OSRRefH22_15x_0" localSheetId="69">'325'!$H$81:$H$82</definedName>
    <definedName name="OSRRefH22_15x_0" localSheetId="59">'326'!$H$100:$H$101</definedName>
    <definedName name="OSRRefH22_15x_0" localSheetId="57">'331'!$H$135:$H$137</definedName>
    <definedName name="OSRRefH22_15x_0" localSheetId="74">'405'!$H$83</definedName>
    <definedName name="OSRRefH22_15x_0" localSheetId="76">'411'!$H$81</definedName>
    <definedName name="OSRRefH22_15x_0" localSheetId="79">'414'!$H$75</definedName>
    <definedName name="OSRRefH22_15x_0" localSheetId="80">'415'!$H$87:$H$88</definedName>
    <definedName name="OSRRefH22_15x_0" localSheetId="89">'433'!$H$87</definedName>
    <definedName name="OSRRefH22_15x_0" localSheetId="91">'444'!$H$89:$H$90</definedName>
    <definedName name="OSRRefH22_15x_0" localSheetId="92">'450'!$H$79:$H$80</definedName>
    <definedName name="OSRRefH22_15x_0" localSheetId="73">'491'!$H$83:$H$87</definedName>
    <definedName name="OSRRefH22_15x_0" localSheetId="87">'492'!$H$81:$H$90</definedName>
    <definedName name="OSRRefH22_15x_0" localSheetId="39">'Div 2'!$H$81:$H$82</definedName>
    <definedName name="OSRRefH22_15x_0" localSheetId="47">'Div 3'!$H$184</definedName>
    <definedName name="OSRRefH22_15x_0" localSheetId="71">'Div 4'!$H$82:$H$85</definedName>
    <definedName name="OSRRefH22_15x_0" localSheetId="2">Summary!$H$215</definedName>
    <definedName name="OSRRefH22_16x_0" localSheetId="41">'201'!$H$76</definedName>
    <definedName name="OSRRefH22_16x_0" localSheetId="48">'300'!$H$182:$H$185</definedName>
    <definedName name="OSRRefH22_16x_0" localSheetId="49">'300 &amp; 317'!$H$206:$H$209</definedName>
    <definedName name="OSRRefH22_16x_0" localSheetId="50">'301'!$H$76:$H$78</definedName>
    <definedName name="OSRRefH22_16x_0" localSheetId="64">'310'!$H$88</definedName>
    <definedName name="OSRRefH22_16x_0" localSheetId="72">'310 &amp; 491'!$H$96:$H$97</definedName>
    <definedName name="OSRRefH22_16x_0" localSheetId="58">'315'!$H$142</definedName>
    <definedName name="OSRRefH22_16x_0" localSheetId="69">'325'!$H$84</definedName>
    <definedName name="OSRRefH22_16x_0" localSheetId="59">'326'!$H$103:$H$108</definedName>
    <definedName name="OSRRefH22_16x_0" localSheetId="57">'331'!$H$139:$H$141</definedName>
    <definedName name="OSRRefH22_16x_0" localSheetId="74">'405'!$H$85</definedName>
    <definedName name="OSRRefH22_16x_0" localSheetId="80">'415'!$H$90</definedName>
    <definedName name="OSRRefH22_16x_0" localSheetId="91">'444'!$H$92</definedName>
    <definedName name="OSRRefH22_16x_0" localSheetId="92">'450'!$H$82</definedName>
    <definedName name="OSRRefH22_16x_0" localSheetId="73">'491'!$H$89:$H$90</definedName>
    <definedName name="OSRRefH22_16x_0" localSheetId="87">'492'!$H$92:$H$93</definedName>
    <definedName name="OSRRefH22_16x_0" localSheetId="39">'Div 2'!$H$84:$H$88</definedName>
    <definedName name="OSRRefH22_16x_0" localSheetId="47">'Div 3'!$H$186</definedName>
    <definedName name="OSRRefH22_16x_0" localSheetId="71">'Div 4'!$H$87:$H$88</definedName>
    <definedName name="OSRRefH22_16x_0" localSheetId="2">Summary!$H$217</definedName>
    <definedName name="OSRRefH22_17x_0" localSheetId="48">'300'!$H$187:$H$190</definedName>
    <definedName name="OSRRefH22_17x_0" localSheetId="49">'300 &amp; 317'!$H$211:$H$214</definedName>
    <definedName name="OSRRefH22_17x_0" localSheetId="50">'301'!$H$80</definedName>
    <definedName name="OSRRefH22_17x_0" localSheetId="64">'310'!$H$90:$H$96</definedName>
    <definedName name="OSRRefH22_17x_0" localSheetId="72">'310 &amp; 491'!$H$99:$H$109</definedName>
    <definedName name="OSRRefH22_17x_0" localSheetId="58">'315'!$H$144:$H$145</definedName>
    <definedName name="OSRRefH22_17x_0" localSheetId="69">'325'!$H$86</definedName>
    <definedName name="OSRRefH22_17x_0" localSheetId="59">'326'!$H$110:$H$111</definedName>
    <definedName name="OSRRefH22_17x_0" localSheetId="57">'331'!$H$143:$H$144</definedName>
    <definedName name="OSRRefH22_17x_0" localSheetId="74">'405'!$H$87</definedName>
    <definedName name="OSRRefH22_17x_0" localSheetId="80">'415'!$H$92:$H$93</definedName>
    <definedName name="OSRRefH22_17x_0" localSheetId="91">'444'!$H$94</definedName>
    <definedName name="OSRRefH22_17x_0" localSheetId="73">'491'!$H$92:$H$102</definedName>
    <definedName name="OSRRefH22_17x_0" localSheetId="87">'492'!$H$95</definedName>
    <definedName name="OSRRefH22_17x_0" localSheetId="39">'Div 2'!$H$90:$H$91</definedName>
    <definedName name="OSRRefH22_17x_0" localSheetId="47">'Div 3'!$H$188:$H$191</definedName>
    <definedName name="OSRRefH22_17x_0" localSheetId="71">'Div 4'!$H$90:$H$94</definedName>
    <definedName name="OSRRefH22_17x_0" localSheetId="2">Summary!$H$219</definedName>
    <definedName name="OSRRefH22_18x_0" localSheetId="48">'300'!$H$192:$H$195</definedName>
    <definedName name="OSRRefH22_18x_0" localSheetId="49">'300 &amp; 317'!$H$216:$H$219</definedName>
    <definedName name="OSRRefH22_18x_0" localSheetId="50">'301'!$H$82:$H$88</definedName>
    <definedName name="OSRRefH22_18x_0" localSheetId="64">'310'!$H$98:$H$99</definedName>
    <definedName name="OSRRefH22_18x_0" localSheetId="72">'310 &amp; 491'!$H$111:$H$112</definedName>
    <definedName name="OSRRefH22_18x_0" localSheetId="59">'326'!$H$113</definedName>
    <definedName name="OSRRefH22_18x_0" localSheetId="57">'331'!$H$146:$H$153</definedName>
    <definedName name="OSRRefH22_18x_0" localSheetId="80">'415'!$H$95</definedName>
    <definedName name="OSRRefH22_18x_0" localSheetId="73">'491'!$H$104:$H$105</definedName>
    <definedName name="OSRRefH22_18x_0" localSheetId="87">'492'!$H$97:$H$98</definedName>
    <definedName name="OSRRefH22_18x_0" localSheetId="39">'Div 2'!$H$93</definedName>
    <definedName name="OSRRefH22_18x_0" localSheetId="47">'Div 3'!$H$193:$H$196</definedName>
    <definedName name="OSRRefH22_18x_0" localSheetId="71">'Div 4'!$H$96:$H$97</definedName>
    <definedName name="OSRRefH22_18x_0" localSheetId="2">Summary!$H$221:$H$224</definedName>
    <definedName name="OSRRefH22_19x_0" localSheetId="48">'300'!$H$197:$H$198</definedName>
    <definedName name="OSRRefH22_19x_0" localSheetId="49">'300 &amp; 317'!$H$221:$H$222</definedName>
    <definedName name="OSRRefH22_19x_0" localSheetId="50">'301'!$H$90</definedName>
    <definedName name="OSRRefH22_19x_0" localSheetId="64">'310'!$H$101</definedName>
    <definedName name="OSRRefH22_19x_0" localSheetId="72">'310 &amp; 491'!$H$114</definedName>
    <definedName name="OSRRefH22_19x_0" localSheetId="59">'326'!$H$115:$H$116</definedName>
    <definedName name="OSRRefH22_19x_0" localSheetId="57">'331'!$H$155:$H$156</definedName>
    <definedName name="OSRRefH22_19x_0" localSheetId="73">'491'!$H$107</definedName>
    <definedName name="OSRRefH22_19x_0" localSheetId="39">'Div 2'!$H$95:$H$96</definedName>
    <definedName name="OSRRefH22_19x_0" localSheetId="47">'Div 3'!$H$198:$H$202</definedName>
    <definedName name="OSRRefH22_19x_0" localSheetId="71">'Div 4'!$H$99:$H$109</definedName>
    <definedName name="OSRRefH22_19x_0" localSheetId="2">Summary!$H$226:$H$229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'300'!$H$135:$H$144</definedName>
    <definedName name="OSRRefH22_1x_0" localSheetId="49">'300 &amp; 317'!$H$159:$H$168</definedName>
    <definedName name="OSRRefH22_1x_0" localSheetId="50">'301'!$H$32:$H$41</definedName>
    <definedName name="OSRRefH22_1x_0" localSheetId="51">'306'!$H$30:$H$39</definedName>
    <definedName name="OSRRefH22_1x_0" localSheetId="53">'307'!$H$48:$H$57</definedName>
    <definedName name="OSRRefH22_1x_0" localSheetId="54">'308'!$H$70:$H$79</definedName>
    <definedName name="OSRRefH22_1x_0" localSheetId="65">'309'!$H$31:$H$40</definedName>
    <definedName name="OSRRefH22_1x_0" localSheetId="64">'310'!$H$41:$H$50</definedName>
    <definedName name="OSRRefH22_1x_0" localSheetId="72">'310 &amp; 491'!$H$46:$H$55</definedName>
    <definedName name="OSRRefH22_1x_0" localSheetId="55">'311'!$H$69:$H$78</definedName>
    <definedName name="OSRRefH22_1x_0" localSheetId="66">'313'!$H$37:$H$46</definedName>
    <definedName name="OSRRefH22_1x_0" localSheetId="58">'315'!$H$91:$H$100</definedName>
    <definedName name="OSRRefH22_1x_0" localSheetId="61">'316'!$H$42:$H$51</definedName>
    <definedName name="OSRRefH22_1x_0" localSheetId="63">'317'!$H$64:$H$73</definedName>
    <definedName name="OSRRefH22_1x_0" localSheetId="67">'321'!$H$36:$H$45</definedName>
    <definedName name="OSRRefH22_1x_0" localSheetId="68">'322'!$H$32:$H$41</definedName>
    <definedName name="OSRRefH22_1x_0" localSheetId="56">'324'!$H$36:$H$45</definedName>
    <definedName name="OSRRefH22_1x_0" localSheetId="69">'325'!$H$34:$H$43</definedName>
    <definedName name="OSRRefH22_1x_0" localSheetId="59">'326'!$H$58:$H$67</definedName>
    <definedName name="OSRRefH22_1x_0" localSheetId="70">'327'!$H$26</definedName>
    <definedName name="OSRRefH22_1x_0" localSheetId="52">'330'!$H$52:$H$61</definedName>
    <definedName name="OSRRefH22_1x_0" localSheetId="57">'331'!$H$92:$H$101</definedName>
    <definedName name="OSRRefH22_1x_0" localSheetId="60">'332'!$H$44:$H$53</definedName>
    <definedName name="OSRRefH22_1x_0" localSheetId="74">'405'!$H$33:$H$42</definedName>
    <definedName name="OSRRefH22_1x_0" localSheetId="75">'406'!$H$22</definedName>
    <definedName name="OSRRefH22_1x_0" localSheetId="76">'411'!$H$30:$H$39</definedName>
    <definedName name="OSRRefH22_1x_0" localSheetId="77">'412'!$H$31:$H$40</definedName>
    <definedName name="OSRRefH22_1x_0" localSheetId="78">'413'!$H$33:$H$42</definedName>
    <definedName name="OSRRefH22_1x_0" localSheetId="79">'414'!$H$35:$H$44</definedName>
    <definedName name="OSRRefH22_1x_0" localSheetId="80">'415'!$H$37:$H$46</definedName>
    <definedName name="OSRRefH22_1x_0" localSheetId="81">'418'!$H$33:$H$42</definedName>
    <definedName name="OSRRefH22_1x_0" localSheetId="82">'420'!$H$24</definedName>
    <definedName name="OSRRefH22_1x_0" localSheetId="83">'423'!$H$29:$H$38</definedName>
    <definedName name="OSRRefH22_1x_0" localSheetId="84">'424'!$H$22</definedName>
    <definedName name="OSRRefH22_1x_0" localSheetId="85">'425'!$H$27</definedName>
    <definedName name="OSRRefH22_1x_0" localSheetId="88">'430'!$H$30:$H$39</definedName>
    <definedName name="OSRRefH22_1x_0" localSheetId="89">'433'!$H$38:$H$47</definedName>
    <definedName name="OSRRefH22_1x_0" localSheetId="91">'444'!$H$38:$H$47</definedName>
    <definedName name="OSRRefH22_1x_0" localSheetId="92">'450'!$H$34:$H$43</definedName>
    <definedName name="OSRRefH22_1x_0" localSheetId="73">'491'!$H$40:$H$49</definedName>
    <definedName name="OSRRefH22_1x_0" localSheetId="87">'492'!$H$38:$H$47</definedName>
    <definedName name="OSRRefH22_1x_0" localSheetId="94">'501'!$H$32:$H$41</definedName>
    <definedName name="OSRRefH22_1x_0" localSheetId="39">'Div 2'!$H$33:$H$42</definedName>
    <definedName name="OSRRefH22_1x_0" localSheetId="47">'Div 3'!$H$139:$H$148</definedName>
    <definedName name="OSRRefH22_1x_0" localSheetId="71">'Div 4'!$H$43:$H$52</definedName>
    <definedName name="OSRRefH22_1x_0" localSheetId="93">'Div 5'!$H$32:$H$41</definedName>
    <definedName name="OSRRefH22_1x_0" localSheetId="62">'Div 6'!$H$64:$H$73</definedName>
    <definedName name="OSRRefH22_1x_0" localSheetId="2">Summary!$H$169:$H$178</definedName>
    <definedName name="OSRRefH22_20x_0" localSheetId="48">'300'!$H$200:$H$208</definedName>
    <definedName name="OSRRefH22_20x_0" localSheetId="49">'300 &amp; 317'!$H$224:$H$232</definedName>
    <definedName name="OSRRefH22_20x_0" localSheetId="50">'301'!$H$92</definedName>
    <definedName name="OSRRefH22_20x_0" localSheetId="64">'310'!$H$103</definedName>
    <definedName name="OSRRefH22_20x_0" localSheetId="72">'310 &amp; 491'!$H$116:$H$118</definedName>
    <definedName name="OSRRefH22_20x_0" localSheetId="59">'326'!$H$118</definedName>
    <definedName name="OSRRefH22_20x_0" localSheetId="57">'331'!$H$158</definedName>
    <definedName name="OSRRefH22_20x_0" localSheetId="73">'491'!$H$109:$H$111</definedName>
    <definedName name="OSRRefH22_20x_0" localSheetId="47">'Div 3'!$H$204:$H$205</definedName>
    <definedName name="OSRRefH22_20x_0" localSheetId="71">'Div 4'!$H$111:$H$112</definedName>
    <definedName name="OSRRefH22_20x_0" localSheetId="2">Summary!$H$231:$H$235</definedName>
    <definedName name="OSRRefH22_21x_0" localSheetId="48">'300'!$H$210:$H$211</definedName>
    <definedName name="OSRRefH22_21x_0" localSheetId="49">'300 &amp; 317'!$H$234:$H$235</definedName>
    <definedName name="OSRRefH22_21x_0" localSheetId="50">'301'!$H$94:$H$95</definedName>
    <definedName name="OSRRefH22_21x_0" localSheetId="64">'310'!$H$105</definedName>
    <definedName name="OSRRefH22_21x_0" localSheetId="72">'310 &amp; 491'!$H$120</definedName>
    <definedName name="OSRRefH22_21x_0" localSheetId="57">'331'!$H$160:$H$161</definedName>
    <definedName name="OSRRefH22_21x_0" localSheetId="73">'491'!$H$113</definedName>
    <definedName name="OSRRefH22_21x_0" localSheetId="47">'Div 3'!$H$207:$H$215</definedName>
    <definedName name="OSRRefH22_21x_0" localSheetId="71">'Div 4'!$H$114</definedName>
    <definedName name="OSRRefH22_21x_0" localSheetId="2">Summary!$H$237:$H$238</definedName>
    <definedName name="OSRRefH22_22x_0" localSheetId="48">'300'!$H$213</definedName>
    <definedName name="OSRRefH22_22x_0" localSheetId="49">'300 &amp; 317'!$H$237</definedName>
    <definedName name="OSRRefH22_22x_0" localSheetId="50">'301'!$H$97</definedName>
    <definedName name="OSRRefH22_22x_0" localSheetId="57">'331'!$H$163</definedName>
    <definedName name="OSRRefH22_22x_0" localSheetId="47">'Div 3'!$H$217:$H$218</definedName>
    <definedName name="OSRRefH22_22x_0" localSheetId="71">'Div 4'!$H$116:$H$118</definedName>
    <definedName name="OSRRefH22_22x_0" localSheetId="2">Summary!$H$240:$H$250</definedName>
    <definedName name="OSRRefH22_23x_0" localSheetId="48">'300'!$H$215:$H$217</definedName>
    <definedName name="OSRRefH22_23x_0" localSheetId="49">'300 &amp; 317'!$H$239:$H$241</definedName>
    <definedName name="OSRRefH22_23x_0" localSheetId="47">'Div 3'!$H$220</definedName>
    <definedName name="OSRRefH22_23x_0" localSheetId="71">'Div 4'!$H$120</definedName>
    <definedName name="OSRRefH22_23x_0" localSheetId="2">Summary!$H$252:$H$253</definedName>
    <definedName name="OSRRefH22_24x_0" localSheetId="48">'300'!$H$219</definedName>
    <definedName name="OSRRefH22_24x_0" localSheetId="49">'300 &amp; 317'!$H$243</definedName>
    <definedName name="OSRRefH22_24x_0" localSheetId="47">'Div 3'!$H$222:$H$224</definedName>
    <definedName name="OSRRefH22_24x_0" localSheetId="2">Summary!$H$255</definedName>
    <definedName name="OSRRefH22_25x_0" localSheetId="47">'Div 3'!$H$226</definedName>
    <definedName name="OSRRefH22_25x_0" localSheetId="2">Summary!$H$257:$H$259</definedName>
    <definedName name="OSRRefH22_26x_0" localSheetId="2">Summary!$H$261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'300'!$H$146</definedName>
    <definedName name="OSRRefH22_2x_0" localSheetId="49">'300 &amp; 317'!$H$170</definedName>
    <definedName name="OSRRefH22_2x_0" localSheetId="50">'301'!$H$43</definedName>
    <definedName name="OSRRefH22_2x_0" localSheetId="51">'306'!$H$41</definedName>
    <definedName name="OSRRefH22_2x_0" localSheetId="53">'307'!$H$59</definedName>
    <definedName name="OSRRefH22_2x_0" localSheetId="54">'308'!$H$81</definedName>
    <definedName name="OSRRefH22_2x_0" localSheetId="65">'309'!$H$42</definedName>
    <definedName name="OSRRefH22_2x_0" localSheetId="64">'310'!$H$52</definedName>
    <definedName name="OSRRefH22_2x_0" localSheetId="72">'310 &amp; 491'!$H$57</definedName>
    <definedName name="OSRRefH22_2x_0" localSheetId="55">'311'!$H$80</definedName>
    <definedName name="OSRRefH22_2x_0" localSheetId="66">'313'!$H$48</definedName>
    <definedName name="OSRRefH22_2x_0" localSheetId="58">'315'!$H$102</definedName>
    <definedName name="OSRRefH22_2x_0" localSheetId="61">'316'!$H$53</definedName>
    <definedName name="OSRRefH22_2x_0" localSheetId="63">'317'!$H$75</definedName>
    <definedName name="OSRRefH22_2x_0" localSheetId="67">'321'!$H$47</definedName>
    <definedName name="OSRRefH22_2x_0" localSheetId="68">'322'!$H$43</definedName>
    <definedName name="OSRRefH22_2x_0" localSheetId="69">'325'!$H$45</definedName>
    <definedName name="OSRRefH22_2x_0" localSheetId="59">'326'!$H$69</definedName>
    <definedName name="OSRRefH22_2x_0" localSheetId="52">'330'!$H$63</definedName>
    <definedName name="OSRRefH22_2x_0" localSheetId="57">'331'!$H$103</definedName>
    <definedName name="OSRRefH22_2x_0" localSheetId="60">'332'!$H$55</definedName>
    <definedName name="OSRRefH22_2x_0" localSheetId="74">'405'!$H$44</definedName>
    <definedName name="OSRRefH22_2x_0" localSheetId="75">'406'!$H$24</definedName>
    <definedName name="OSRRefH22_2x_0" localSheetId="76">'411'!$H$41</definedName>
    <definedName name="OSRRefH22_2x_0" localSheetId="77">'412'!$H$42</definedName>
    <definedName name="OSRRefH22_2x_0" localSheetId="78">'413'!$H$44</definedName>
    <definedName name="OSRRefH22_2x_0" localSheetId="79">'414'!$H$46</definedName>
    <definedName name="OSRRefH22_2x_0" localSheetId="80">'415'!$H$48</definedName>
    <definedName name="OSRRefH22_2x_0" localSheetId="81">'418'!$H$44</definedName>
    <definedName name="OSRRefH22_2x_0" localSheetId="83">'423'!$H$40</definedName>
    <definedName name="OSRRefH22_2x_0" localSheetId="84">'424'!$H$24</definedName>
    <definedName name="OSRRefH22_2x_0" localSheetId="85">'425'!$H$29</definedName>
    <definedName name="OSRRefH22_2x_0" localSheetId="88">'430'!$H$41</definedName>
    <definedName name="OSRRefH22_2x_0" localSheetId="89">'433'!$H$49</definedName>
    <definedName name="OSRRefH22_2x_0" localSheetId="91">'444'!$H$49</definedName>
    <definedName name="OSRRefH22_2x_0" localSheetId="92">'450'!$H$45</definedName>
    <definedName name="OSRRefH22_2x_0" localSheetId="73">'491'!$H$51</definedName>
    <definedName name="OSRRefH22_2x_0" localSheetId="87">'492'!$H$49</definedName>
    <definedName name="OSRRefH22_2x_0" localSheetId="94">'501'!$H$43</definedName>
    <definedName name="OSRRefH22_2x_0" localSheetId="39">'Div 2'!$H$44</definedName>
    <definedName name="OSRRefH22_2x_0" localSheetId="47">'Div 3'!$H$150</definedName>
    <definedName name="OSRRefH22_2x_0" localSheetId="71">'Div 4'!$H$54</definedName>
    <definedName name="OSRRefH22_2x_0" localSheetId="93">'Div 5'!$H$43</definedName>
    <definedName name="OSRRefH22_2x_0" localSheetId="62">'Div 6'!$H$75</definedName>
    <definedName name="OSRRefH22_2x_0" localSheetId="2">Summary!$H$180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'300'!$H$148:$H$149</definedName>
    <definedName name="OSRRefH22_3x_0" localSheetId="49">'300 &amp; 317'!$H$172:$H$173</definedName>
    <definedName name="OSRRefH22_3x_0" localSheetId="50">'301'!$H$45:$H$46</definedName>
    <definedName name="OSRRefH22_3x_0" localSheetId="51">'306'!$H$43</definedName>
    <definedName name="OSRRefH22_3x_0" localSheetId="53">'307'!$H$61</definedName>
    <definedName name="OSRRefH22_3x_0" localSheetId="54">'308'!$H$83:$H$84</definedName>
    <definedName name="OSRRefH22_3x_0" localSheetId="65">'309'!$H$44</definedName>
    <definedName name="OSRRefH22_3x_0" localSheetId="64">'310'!$H$54</definedName>
    <definedName name="OSRRefH22_3x_0" localSheetId="72">'310 &amp; 491'!$H$59</definedName>
    <definedName name="OSRRefH22_3x_0" localSheetId="55">'311'!$H$82:$H$83</definedName>
    <definedName name="OSRRefH22_3x_0" localSheetId="66">'313'!$H$50</definedName>
    <definedName name="OSRRefH22_3x_0" localSheetId="58">'315'!$H$104</definedName>
    <definedName name="OSRRefH22_3x_0" localSheetId="61">'316'!$H$55</definedName>
    <definedName name="OSRRefH22_3x_0" localSheetId="63">'317'!$H$77</definedName>
    <definedName name="OSRRefH22_3x_0" localSheetId="67">'321'!$H$49</definedName>
    <definedName name="OSRRefH22_3x_0" localSheetId="68">'322'!$H$45</definedName>
    <definedName name="OSRRefH22_3x_0" localSheetId="69">'325'!$H$47</definedName>
    <definedName name="OSRRefH22_3x_0" localSheetId="59">'326'!$H$71</definedName>
    <definedName name="OSRRefH22_3x_0" localSheetId="52">'330'!$H$65</definedName>
    <definedName name="OSRRefH22_3x_0" localSheetId="57">'331'!$H$105</definedName>
    <definedName name="OSRRefH22_3x_0" localSheetId="60">'332'!$H$57</definedName>
    <definedName name="OSRRefH22_3x_0" localSheetId="74">'405'!$H$46</definedName>
    <definedName name="OSRRefH22_3x_0" localSheetId="75">'406'!$H$26</definedName>
    <definedName name="OSRRefH22_3x_0" localSheetId="76">'411'!$H$43</definedName>
    <definedName name="OSRRefH22_3x_0" localSheetId="77">'412'!$H$44</definedName>
    <definedName name="OSRRefH22_3x_0" localSheetId="78">'413'!$H$46</definedName>
    <definedName name="OSRRefH22_3x_0" localSheetId="79">'414'!$H$48</definedName>
    <definedName name="OSRRefH22_3x_0" localSheetId="80">'415'!$H$50</definedName>
    <definedName name="OSRRefH22_3x_0" localSheetId="81">'418'!$H$46</definedName>
    <definedName name="OSRRefH22_3x_0" localSheetId="83">'423'!$H$42:$H$43</definedName>
    <definedName name="OSRRefH22_3x_0" localSheetId="84">'424'!$H$26</definedName>
    <definedName name="OSRRefH22_3x_0" localSheetId="85">'425'!$H$31</definedName>
    <definedName name="OSRRefH22_3x_0" localSheetId="88">'430'!$H$43</definedName>
    <definedName name="OSRRefH22_3x_0" localSheetId="89">'433'!$H$51</definedName>
    <definedName name="OSRRefH22_3x_0" localSheetId="91">'444'!$H$51</definedName>
    <definedName name="OSRRefH22_3x_0" localSheetId="92">'450'!$H$47</definedName>
    <definedName name="OSRRefH22_3x_0" localSheetId="73">'491'!$H$53</definedName>
    <definedName name="OSRRefH22_3x_0" localSheetId="87">'492'!$H$51</definedName>
    <definedName name="OSRRefH22_3x_0" localSheetId="94">'501'!$H$45</definedName>
    <definedName name="OSRRefH22_3x_0" localSheetId="39">'Div 2'!$H$46</definedName>
    <definedName name="OSRRefH22_3x_0" localSheetId="47">'Div 3'!$H$152:$H$153</definedName>
    <definedName name="OSRRefH22_3x_0" localSheetId="71">'Div 4'!$H$56</definedName>
    <definedName name="OSRRefH22_3x_0" localSheetId="93">'Div 5'!$H$45</definedName>
    <definedName name="OSRRefH22_3x_0" localSheetId="62">'Div 6'!$H$77</definedName>
    <definedName name="OSRRefH22_3x_0" localSheetId="2">Summary!$H$182:$H$183</definedName>
    <definedName name="OSRRefH22_4x_0" localSheetId="40">'200'!$H$28:$H$29</definedName>
    <definedName name="OSRRefH22_4x_0" localSheetId="41">'201'!$H$46:$H$47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'205'!$H$45:$H$47</definedName>
    <definedName name="OSRRefH22_4x_0" localSheetId="46">'206'!$H$45</definedName>
    <definedName name="OSRRefH22_4x_0" localSheetId="48">'300'!$H$151</definedName>
    <definedName name="OSRRefH22_4x_0" localSheetId="49">'300 &amp; 317'!$H$175</definedName>
    <definedName name="OSRRefH22_4x_0" localSheetId="50">'301'!$H$48</definedName>
    <definedName name="OSRRefH22_4x_0" localSheetId="51">'306'!$H$45</definedName>
    <definedName name="OSRRefH22_4x_0" localSheetId="53">'307'!$H$63</definedName>
    <definedName name="OSRRefH22_4x_0" localSheetId="54">'308'!$H$86</definedName>
    <definedName name="OSRRefH22_4x_0" localSheetId="65">'309'!$H$46</definedName>
    <definedName name="OSRRefH22_4x_0" localSheetId="64">'310'!$H$56</definedName>
    <definedName name="OSRRefH22_4x_0" localSheetId="72">'310 &amp; 491'!$H$61</definedName>
    <definedName name="OSRRefH22_4x_0" localSheetId="55">'311'!$H$85</definedName>
    <definedName name="OSRRefH22_4x_0" localSheetId="66">'313'!$H$52</definedName>
    <definedName name="OSRRefH22_4x_0" localSheetId="58">'315'!$H$106</definedName>
    <definedName name="OSRRefH22_4x_0" localSheetId="61">'316'!$H$57</definedName>
    <definedName name="OSRRefH22_4x_0" localSheetId="63">'317'!$H$79</definedName>
    <definedName name="OSRRefH22_4x_0" localSheetId="67">'321'!$H$51</definedName>
    <definedName name="OSRRefH22_4x_0" localSheetId="68">'322'!$H$47</definedName>
    <definedName name="OSRRefH22_4x_0" localSheetId="69">'325'!$H$49</definedName>
    <definedName name="OSRRefH22_4x_0" localSheetId="59">'326'!$H$73</definedName>
    <definedName name="OSRRefH22_4x_0" localSheetId="52">'330'!$H$67</definedName>
    <definedName name="OSRRefH22_4x_0" localSheetId="57">'331'!$H$107</definedName>
    <definedName name="OSRRefH22_4x_0" localSheetId="60">'332'!$H$59</definedName>
    <definedName name="OSRRefH22_4x_0" localSheetId="74">'405'!$H$48:$H$49</definedName>
    <definedName name="OSRRefH22_4x_0" localSheetId="75">'406'!$H$28</definedName>
    <definedName name="OSRRefH22_4x_0" localSheetId="76">'411'!$H$45:$H$46</definedName>
    <definedName name="OSRRefH22_4x_0" localSheetId="77">'412'!$H$46:$H$47</definedName>
    <definedName name="OSRRefH22_4x_0" localSheetId="78">'413'!$H$48</definedName>
    <definedName name="OSRRefH22_4x_0" localSheetId="79">'414'!$H$50</definedName>
    <definedName name="OSRRefH22_4x_0" localSheetId="80">'415'!$H$52</definedName>
    <definedName name="OSRRefH22_4x_0" localSheetId="81">'418'!$H$48:$H$49</definedName>
    <definedName name="OSRRefH22_4x_0" localSheetId="83">'423'!$H$45</definedName>
    <definedName name="OSRRefH22_4x_0" localSheetId="85">'425'!$H$33:$H$34</definedName>
    <definedName name="OSRRefH22_4x_0" localSheetId="88">'430'!$H$45:$H$47</definedName>
    <definedName name="OSRRefH22_4x_0" localSheetId="89">'433'!$H$53</definedName>
    <definedName name="OSRRefH22_4x_0" localSheetId="91">'444'!$H$53</definedName>
    <definedName name="OSRRefH22_4x_0" localSheetId="92">'450'!$H$49</definedName>
    <definedName name="OSRRefH22_4x_0" localSheetId="73">'491'!$H$55</definedName>
    <definedName name="OSRRefH22_4x_0" localSheetId="87">'492'!$H$53</definedName>
    <definedName name="OSRRefH22_4x_0" localSheetId="94">'501'!$H$47</definedName>
    <definedName name="OSRRefH22_4x_0" localSheetId="39">'Div 2'!$H$48</definedName>
    <definedName name="OSRRefH22_4x_0" localSheetId="47">'Div 3'!$H$155</definedName>
    <definedName name="OSRRefH22_4x_0" localSheetId="71">'Div 4'!$H$58</definedName>
    <definedName name="OSRRefH22_4x_0" localSheetId="93">'Div 5'!$H$47</definedName>
    <definedName name="OSRRefH22_4x_0" localSheetId="62">'Div 6'!$H$79</definedName>
    <definedName name="OSRRefH22_4x_0" localSheetId="2">Summary!$H$185</definedName>
    <definedName name="OSRRefH22_5x_0" localSheetId="41">'201'!$H$49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'205'!$H$49</definedName>
    <definedName name="OSRRefH22_5x_0" localSheetId="46">'206'!$H$47</definedName>
    <definedName name="OSRRefH22_5x_0" localSheetId="48">'300'!$H$153:$H$154</definedName>
    <definedName name="OSRRefH22_5x_0" localSheetId="49">'300 &amp; 317'!$H$177:$H$178</definedName>
    <definedName name="OSRRefH22_5x_0" localSheetId="50">'301'!$H$50:$H$51</definedName>
    <definedName name="OSRRefH22_5x_0" localSheetId="51">'306'!$H$47</definedName>
    <definedName name="OSRRefH22_5x_0" localSheetId="53">'307'!$H$65:$H$66</definedName>
    <definedName name="OSRRefH22_5x_0" localSheetId="54">'308'!$H$88</definedName>
    <definedName name="OSRRefH22_5x_0" localSheetId="65">'309'!$H$48</definedName>
    <definedName name="OSRRefH22_5x_0" localSheetId="64">'310'!$H$58:$H$59</definedName>
    <definedName name="OSRRefH22_5x_0" localSheetId="72">'310 &amp; 491'!$H$63:$H$65</definedName>
    <definedName name="OSRRefH22_5x_0" localSheetId="55">'311'!$H$87</definedName>
    <definedName name="OSRRefH22_5x_0" localSheetId="66">'313'!$H$54</definedName>
    <definedName name="OSRRefH22_5x_0" localSheetId="58">'315'!$H$108:$H$109</definedName>
    <definedName name="OSRRefH22_5x_0" localSheetId="61">'316'!$H$59</definedName>
    <definedName name="OSRRefH22_5x_0" localSheetId="63">'317'!$H$81</definedName>
    <definedName name="OSRRefH22_5x_0" localSheetId="67">'321'!$H$53</definedName>
    <definedName name="OSRRefH22_5x_0" localSheetId="68">'322'!$H$49</definedName>
    <definedName name="OSRRefH22_5x_0" localSheetId="69">'325'!$H$51:$H$52</definedName>
    <definedName name="OSRRefH22_5x_0" localSheetId="59">'326'!$H$75</definedName>
    <definedName name="OSRRefH22_5x_0" localSheetId="52">'330'!$H$69:$H$70</definedName>
    <definedName name="OSRRefH22_5x_0" localSheetId="57">'331'!$H$109:$H$110</definedName>
    <definedName name="OSRRefH22_5x_0" localSheetId="60">'332'!$H$61</definedName>
    <definedName name="OSRRefH22_5x_0" localSheetId="74">'405'!$H$51</definedName>
    <definedName name="OSRRefH22_5x_0" localSheetId="76">'411'!$H$48</definedName>
    <definedName name="OSRRefH22_5x_0" localSheetId="77">'412'!$H$49</definedName>
    <definedName name="OSRRefH22_5x_0" localSheetId="78">'413'!$H$50</definedName>
    <definedName name="OSRRefH22_5x_0" localSheetId="79">'414'!$H$52</definedName>
    <definedName name="OSRRefH22_5x_0" localSheetId="80">'415'!$H$54:$H$55</definedName>
    <definedName name="OSRRefH22_5x_0" localSheetId="81">'418'!$H$51</definedName>
    <definedName name="OSRRefH22_5x_0" localSheetId="83">'423'!$H$47</definedName>
    <definedName name="OSRRefH22_5x_0" localSheetId="85">'425'!$H$36</definedName>
    <definedName name="OSRRefH22_5x_0" localSheetId="88">'430'!$H$49:$H$50</definedName>
    <definedName name="OSRRefH22_5x_0" localSheetId="89">'433'!$H$55</definedName>
    <definedName name="OSRRefH22_5x_0" localSheetId="91">'444'!$H$55</definedName>
    <definedName name="OSRRefH22_5x_0" localSheetId="92">'450'!$H$51</definedName>
    <definedName name="OSRRefH22_5x_0" localSheetId="73">'491'!$H$57:$H$59</definedName>
    <definedName name="OSRRefH22_5x_0" localSheetId="87">'492'!$H$55</definedName>
    <definedName name="OSRRefH22_5x_0" localSheetId="94">'501'!$H$49:$H$50</definedName>
    <definedName name="OSRRefH22_5x_0" localSheetId="39">'Div 2'!$H$50:$H$51</definedName>
    <definedName name="OSRRefH22_5x_0" localSheetId="47">'Div 3'!$H$157:$H$158</definedName>
    <definedName name="OSRRefH22_5x_0" localSheetId="71">'Div 4'!$H$60:$H$62</definedName>
    <definedName name="OSRRefH22_5x_0" localSheetId="93">'Div 5'!$H$49:$H$50</definedName>
    <definedName name="OSRRefH22_5x_0" localSheetId="62">'Div 6'!$H$81</definedName>
    <definedName name="OSRRefH22_5x_0" localSheetId="2">Summary!$H$187:$H$189</definedName>
    <definedName name="OSRRefH22_6x_0" localSheetId="41">'201'!$H$51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'205'!$H$51:$H$53</definedName>
    <definedName name="OSRRefH22_6x_0" localSheetId="46">'206'!$H$49</definedName>
    <definedName name="OSRRefH22_6x_0" localSheetId="48">'300'!$H$156:$H$157</definedName>
    <definedName name="OSRRefH22_6x_0" localSheetId="49">'300 &amp; 317'!$H$180:$H$181</definedName>
    <definedName name="OSRRefH22_6x_0" localSheetId="50">'301'!$H$53</definedName>
    <definedName name="OSRRefH22_6x_0" localSheetId="51">'306'!$H$49:$H$50</definedName>
    <definedName name="OSRRefH22_6x_0" localSheetId="53">'307'!$H$68</definedName>
    <definedName name="OSRRefH22_6x_0" localSheetId="54">'308'!$H$90:$H$91</definedName>
    <definedName name="OSRRefH22_6x_0" localSheetId="65">'309'!$H$50</definedName>
    <definedName name="OSRRefH22_6x_0" localSheetId="64">'310'!$H$61</definedName>
    <definedName name="OSRRefH22_6x_0" localSheetId="72">'310 &amp; 491'!$H$67</definedName>
    <definedName name="OSRRefH22_6x_0" localSheetId="55">'311'!$H$89:$H$90</definedName>
    <definedName name="OSRRefH22_6x_0" localSheetId="66">'313'!$H$56:$H$57</definedName>
    <definedName name="OSRRefH22_6x_0" localSheetId="58">'315'!$H$111</definedName>
    <definedName name="OSRRefH22_6x_0" localSheetId="61">'316'!$H$61:$H$62</definedName>
    <definedName name="OSRRefH22_6x_0" localSheetId="63">'317'!$H$83:$H$84</definedName>
    <definedName name="OSRRefH22_6x_0" localSheetId="67">'321'!$H$55</definedName>
    <definedName name="OSRRefH22_6x_0" localSheetId="68">'322'!$H$51</definedName>
    <definedName name="OSRRefH22_6x_0" localSheetId="69">'325'!$H$54</definedName>
    <definedName name="OSRRefH22_6x_0" localSheetId="59">'326'!$H$77</definedName>
    <definedName name="OSRRefH22_6x_0" localSheetId="52">'330'!$H$72</definedName>
    <definedName name="OSRRefH22_6x_0" localSheetId="57">'331'!$H$112</definedName>
    <definedName name="OSRRefH22_6x_0" localSheetId="60">'332'!$H$63:$H$64</definedName>
    <definedName name="OSRRefH22_6x_0" localSheetId="74">'405'!$H$53</definedName>
    <definedName name="OSRRefH22_6x_0" localSheetId="76">'411'!$H$50</definedName>
    <definedName name="OSRRefH22_6x_0" localSheetId="77">'412'!$H$51</definedName>
    <definedName name="OSRRefH22_6x_0" localSheetId="78">'413'!$H$52</definedName>
    <definedName name="OSRRefH22_6x_0" localSheetId="79">'414'!$H$54</definedName>
    <definedName name="OSRRefH22_6x_0" localSheetId="80">'415'!$H$57</definedName>
    <definedName name="OSRRefH22_6x_0" localSheetId="81">'418'!$H$53</definedName>
    <definedName name="OSRRefH22_6x_0" localSheetId="83">'423'!$H$49</definedName>
    <definedName name="OSRRefH22_6x_0" localSheetId="88">'430'!$H$52</definedName>
    <definedName name="OSRRefH22_6x_0" localSheetId="89">'433'!$H$57</definedName>
    <definedName name="OSRRefH22_6x_0" localSheetId="91">'444'!$H$57</definedName>
    <definedName name="OSRRefH22_6x_0" localSheetId="92">'450'!$H$53</definedName>
    <definedName name="OSRRefH22_6x_0" localSheetId="73">'491'!$H$61</definedName>
    <definedName name="OSRRefH22_6x_0" localSheetId="87">'492'!$H$57</definedName>
    <definedName name="OSRRefH22_6x_0" localSheetId="94">'501'!$H$52</definedName>
    <definedName name="OSRRefH22_6x_0" localSheetId="39">'Div 2'!$H$53:$H$54</definedName>
    <definedName name="OSRRefH22_6x_0" localSheetId="47">'Div 3'!$H$160:$H$161</definedName>
    <definedName name="OSRRefH22_6x_0" localSheetId="71">'Div 4'!$H$64</definedName>
    <definedName name="OSRRefH22_6x_0" localSheetId="93">'Div 5'!$H$52</definedName>
    <definedName name="OSRRefH22_6x_0" localSheetId="62">'Div 6'!$H$83:$H$84</definedName>
    <definedName name="OSRRefH22_6x_0" localSheetId="2">Summary!$H$191:$H$192</definedName>
    <definedName name="OSRRefH22_7x_0" localSheetId="41">'201'!$H$53</definedName>
    <definedName name="OSRRefH22_7x_0" localSheetId="42">'202'!$H$53:$H$55</definedName>
    <definedName name="OSRRefH22_7x_0" localSheetId="43">'203'!$H$52:$H$53</definedName>
    <definedName name="OSRRefH22_7x_0" localSheetId="44">'204'!$H$53:$H$55</definedName>
    <definedName name="OSRRefH22_7x_0" localSheetId="45">'205'!$H$55</definedName>
    <definedName name="OSRRefH22_7x_0" localSheetId="46">'206'!$H$51</definedName>
    <definedName name="OSRRefH22_7x_0" localSheetId="48">'300'!$H$159:$H$160</definedName>
    <definedName name="OSRRefH22_7x_0" localSheetId="49">'300 &amp; 317'!$H$183:$H$184</definedName>
    <definedName name="OSRRefH22_7x_0" localSheetId="50">'301'!$H$55</definedName>
    <definedName name="OSRRefH22_7x_0" localSheetId="51">'306'!$H$52:$H$53</definedName>
    <definedName name="OSRRefH22_7x_0" localSheetId="53">'307'!$H$70</definedName>
    <definedName name="OSRRefH22_7x_0" localSheetId="54">'308'!$H$93:$H$94</definedName>
    <definedName name="OSRRefH22_7x_0" localSheetId="65">'309'!$H$52:$H$53</definedName>
    <definedName name="OSRRefH22_7x_0" localSheetId="64">'310'!$H$63</definedName>
    <definedName name="OSRRefH22_7x_0" localSheetId="72">'310 &amp; 491'!$H$69</definedName>
    <definedName name="OSRRefH22_7x_0" localSheetId="55">'311'!$H$92:$H$93</definedName>
    <definedName name="OSRRefH22_7x_0" localSheetId="66">'313'!$H$59</definedName>
    <definedName name="OSRRefH22_7x_0" localSheetId="58">'315'!$H$113:$H$114</definedName>
    <definedName name="OSRRefH22_7x_0" localSheetId="61">'316'!$H$64:$H$66</definedName>
    <definedName name="OSRRefH22_7x_0" localSheetId="63">'317'!$H$86</definedName>
    <definedName name="OSRRefH22_7x_0" localSheetId="67">'321'!$H$57:$H$58</definedName>
    <definedName name="OSRRefH22_7x_0" localSheetId="68">'322'!$H$53:$H$54</definedName>
    <definedName name="OSRRefH22_7x_0" localSheetId="69">'325'!$H$56</definedName>
    <definedName name="OSRRefH22_7x_0" localSheetId="59">'326'!$H$79</definedName>
    <definedName name="OSRRefH22_7x_0" localSheetId="52">'330'!$H$74</definedName>
    <definedName name="OSRRefH22_7x_0" localSheetId="57">'331'!$H$114</definedName>
    <definedName name="OSRRefH22_7x_0" localSheetId="60">'332'!$H$66:$H$68</definedName>
    <definedName name="OSRRefH22_7x_0" localSheetId="74">'405'!$H$55</definedName>
    <definedName name="OSRRefH22_7x_0" localSheetId="76">'411'!$H$52</definedName>
    <definedName name="OSRRefH22_7x_0" localSheetId="77">'412'!$H$53</definedName>
    <definedName name="OSRRefH22_7x_0" localSheetId="78">'413'!$H$54</definedName>
    <definedName name="OSRRefH22_7x_0" localSheetId="79">'414'!$H$56</definedName>
    <definedName name="OSRRefH22_7x_0" localSheetId="80">'415'!$H$59</definedName>
    <definedName name="OSRRefH22_7x_0" localSheetId="81">'418'!$H$55</definedName>
    <definedName name="OSRRefH22_7x_0" localSheetId="88">'430'!$H$54</definedName>
    <definedName name="OSRRefH22_7x_0" localSheetId="89">'433'!$H$59</definedName>
    <definedName name="OSRRefH22_7x_0" localSheetId="91">'444'!$H$59</definedName>
    <definedName name="OSRRefH22_7x_0" localSheetId="92">'450'!$H$55</definedName>
    <definedName name="OSRRefH22_7x_0" localSheetId="73">'491'!$H$63</definedName>
    <definedName name="OSRRefH22_7x_0" localSheetId="87">'492'!$H$59</definedName>
    <definedName name="OSRRefH22_7x_0" localSheetId="94">'501'!$H$54</definedName>
    <definedName name="OSRRefH22_7x_0" localSheetId="39">'Div 2'!$H$56</definedName>
    <definedName name="OSRRefH22_7x_0" localSheetId="47">'Div 3'!$H$163:$H$164</definedName>
    <definedName name="OSRRefH22_7x_0" localSheetId="71">'Div 4'!$H$66</definedName>
    <definedName name="OSRRefH22_7x_0" localSheetId="93">'Div 5'!$H$54</definedName>
    <definedName name="OSRRefH22_7x_0" localSheetId="62">'Div 6'!$H$86</definedName>
    <definedName name="OSRRefH22_7x_0" localSheetId="2">Summary!$H$194:$H$195</definedName>
    <definedName name="OSRRefH22_8x_0" localSheetId="41">'201'!$H$55</definedName>
    <definedName name="OSRRefH22_8x_0" localSheetId="42">'202'!$H$57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'300'!$H$162</definedName>
    <definedName name="OSRRefH22_8x_0" localSheetId="49">'300 &amp; 317'!$H$186</definedName>
    <definedName name="OSRRefH22_8x_0" localSheetId="50">'301'!$H$57</definedName>
    <definedName name="OSRRefH22_8x_0" localSheetId="51">'306'!$H$55</definedName>
    <definedName name="OSRRefH22_8x_0" localSheetId="53">'307'!$H$72</definedName>
    <definedName name="OSRRefH22_8x_0" localSheetId="54">'308'!$H$96</definedName>
    <definedName name="OSRRefH22_8x_0" localSheetId="65">'309'!$H$55:$H$56</definedName>
    <definedName name="OSRRefH22_8x_0" localSheetId="64">'310'!$H$65</definedName>
    <definedName name="OSRRefH22_8x_0" localSheetId="72">'310 &amp; 491'!$H$71:$H$72</definedName>
    <definedName name="OSRRefH22_8x_0" localSheetId="55">'311'!$H$95</definedName>
    <definedName name="OSRRefH22_8x_0" localSheetId="66">'313'!$H$61:$H$63</definedName>
    <definedName name="OSRRefH22_8x_0" localSheetId="58">'315'!$H$116</definedName>
    <definedName name="OSRRefH22_8x_0" localSheetId="61">'316'!$H$68</definedName>
    <definedName name="OSRRefH22_8x_0" localSheetId="63">'317'!$H$88</definedName>
    <definedName name="OSRRefH22_8x_0" localSheetId="67">'321'!$H$60:$H$61</definedName>
    <definedName name="OSRRefH22_8x_0" localSheetId="68">'322'!$H$56:$H$57</definedName>
    <definedName name="OSRRefH22_8x_0" localSheetId="69">'325'!$H$58</definedName>
    <definedName name="OSRRefH22_8x_0" localSheetId="59">'326'!$H$81:$H$82</definedName>
    <definedName name="OSRRefH22_8x_0" localSheetId="52">'330'!$H$76</definedName>
    <definedName name="OSRRefH22_8x_0" localSheetId="57">'331'!$H$116:$H$117</definedName>
    <definedName name="OSRRefH22_8x_0" localSheetId="60">'332'!$H$70</definedName>
    <definedName name="OSRRefH22_8x_0" localSheetId="74">'405'!$H$57</definedName>
    <definedName name="OSRRefH22_8x_0" localSheetId="76">'411'!$H$54</definedName>
    <definedName name="OSRRefH22_8x_0" localSheetId="77">'412'!$H$55:$H$56</definedName>
    <definedName name="OSRRefH22_8x_0" localSheetId="78">'413'!$H$56:$H$59</definedName>
    <definedName name="OSRRefH22_8x_0" localSheetId="79">'414'!$H$58:$H$59</definedName>
    <definedName name="OSRRefH22_8x_0" localSheetId="80">'415'!$H$61</definedName>
    <definedName name="OSRRefH22_8x_0" localSheetId="81">'418'!$H$57:$H$59</definedName>
    <definedName name="OSRRefH22_8x_0" localSheetId="89">'433'!$H$61</definedName>
    <definedName name="OSRRefH22_8x_0" localSheetId="91">'444'!$H$61</definedName>
    <definedName name="OSRRefH22_8x_0" localSheetId="92">'450'!$H$57</definedName>
    <definedName name="OSRRefH22_8x_0" localSheetId="73">'491'!$H$65</definedName>
    <definedName name="OSRRefH22_8x_0" localSheetId="87">'492'!$H$61</definedName>
    <definedName name="OSRRefH22_8x_0" localSheetId="94">'501'!$H$56</definedName>
    <definedName name="OSRRefH22_8x_0" localSheetId="39">'Div 2'!$H$58</definedName>
    <definedName name="OSRRefH22_8x_0" localSheetId="47">'Div 3'!$H$166</definedName>
    <definedName name="OSRRefH22_8x_0" localSheetId="71">'Div 4'!$H$68</definedName>
    <definedName name="OSRRefH22_8x_0" localSheetId="93">'Div 5'!$H$56</definedName>
    <definedName name="OSRRefH22_8x_0" localSheetId="62">'Div 6'!$H$88</definedName>
    <definedName name="OSRRefH22_8x_0" localSheetId="2">Summary!$H$197</definedName>
    <definedName name="OSRRefH22_9x_0" localSheetId="41">'201'!$H$57</definedName>
    <definedName name="OSRRefH22_9x_0" localSheetId="42">'202'!$H$59:$H$61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'300'!$H$164</definedName>
    <definedName name="OSRRefH22_9x_0" localSheetId="49">'300 &amp; 317'!$H$188</definedName>
    <definedName name="OSRRefH22_9x_0" localSheetId="50">'301'!$H$59</definedName>
    <definedName name="OSRRefH22_9x_0" localSheetId="51">'306'!$H$57</definedName>
    <definedName name="OSRRefH22_9x_0" localSheetId="53">'307'!$H$74:$H$75</definedName>
    <definedName name="OSRRefH22_9x_0" localSheetId="54">'308'!$H$98:$H$99</definedName>
    <definedName name="OSRRefH22_9x_0" localSheetId="65">'309'!$H$58:$H$60</definedName>
    <definedName name="OSRRefH22_9x_0" localSheetId="64">'310'!$H$67</definedName>
    <definedName name="OSRRefH22_9x_0" localSheetId="72">'310 &amp; 491'!$H$74</definedName>
    <definedName name="OSRRefH22_9x_0" localSheetId="55">'311'!$H$97:$H$98</definedName>
    <definedName name="OSRRefH22_9x_0" localSheetId="66">'313'!$H$65:$H$66</definedName>
    <definedName name="OSRRefH22_9x_0" localSheetId="58">'315'!$H$118:$H$119</definedName>
    <definedName name="OSRRefH22_9x_0" localSheetId="61">'316'!$H$70:$H$74</definedName>
    <definedName name="OSRRefH22_9x_0" localSheetId="63">'317'!$H$90:$H$91</definedName>
    <definedName name="OSRRefH22_9x_0" localSheetId="67">'321'!$H$63:$H$64</definedName>
    <definedName name="OSRRefH22_9x_0" localSheetId="68">'322'!$H$59:$H$62</definedName>
    <definedName name="OSRRefH22_9x_0" localSheetId="69">'325'!$H$60</definedName>
    <definedName name="OSRRefH22_9x_0" localSheetId="59">'326'!$H$84</definedName>
    <definedName name="OSRRefH22_9x_0" localSheetId="52">'330'!$H$78:$H$79</definedName>
    <definedName name="OSRRefH22_9x_0" localSheetId="57">'331'!$H$119:$H$120</definedName>
    <definedName name="OSRRefH22_9x_0" localSheetId="60">'332'!$H$72:$H$76</definedName>
    <definedName name="OSRRefH22_9x_0" localSheetId="74">'405'!$H$59:$H$60</definedName>
    <definedName name="OSRRefH22_9x_0" localSheetId="76">'411'!$H$56:$H$59</definedName>
    <definedName name="OSRRefH22_9x_0" localSheetId="77">'412'!$H$58</definedName>
    <definedName name="OSRRefH22_9x_0" localSheetId="78">'413'!$H$61:$H$62</definedName>
    <definedName name="OSRRefH22_9x_0" localSheetId="79">'414'!$H$61</definedName>
    <definedName name="OSRRefH22_9x_0" localSheetId="80">'415'!$H$63</definedName>
    <definedName name="OSRRefH22_9x_0" localSheetId="81">'418'!$H$61:$H$62</definedName>
    <definedName name="OSRRefH22_9x_0" localSheetId="89">'433'!$H$63</definedName>
    <definedName name="OSRRefH22_9x_0" localSheetId="91">'444'!$H$63</definedName>
    <definedName name="OSRRefH22_9x_0" localSheetId="92">'450'!$H$59</definedName>
    <definedName name="OSRRefH22_9x_0" localSheetId="73">'491'!$H$67</definedName>
    <definedName name="OSRRefH22_9x_0" localSheetId="87">'492'!$H$63</definedName>
    <definedName name="OSRRefH22_9x_0" localSheetId="94">'501'!$H$58:$H$61</definedName>
    <definedName name="OSRRefH22_9x_0" localSheetId="39">'Div 2'!$H$60:$H$61</definedName>
    <definedName name="OSRRefH22_9x_0" localSheetId="47">'Div 3'!$H$168</definedName>
    <definedName name="OSRRefH22_9x_0" localSheetId="71">'Div 4'!$H$70</definedName>
    <definedName name="OSRRefH22_9x_0" localSheetId="93">'Div 5'!$H$58:$H$61</definedName>
    <definedName name="OSRRefH22_9x_0" localSheetId="62">'Div 6'!$H$90:$H$91</definedName>
    <definedName name="OSRRefH22_9x_0" localSheetId="2">Summary!$H$199</definedName>
    <definedName name="OSRRefH22x_0" localSheetId="40">'200'!$H$20,'200'!$H$22,'200'!$H$24,'200'!$H$26,'200'!$H$28:$H$29</definedName>
    <definedName name="OSRRefH22x_0" localSheetId="41">'201'!$H$21:$H$29,'201'!$H$31:$H$40,'201'!$H$42,'201'!$H$44,'201'!$H$46:$H$47,'201'!$H$49,'201'!$H$51,'201'!$H$53,'201'!$H$55,'201'!$H$57,'201'!$H$59:$H$61,'201'!$H$63:$H$64,'201'!$H$66,'201'!$H$68:$H$70,'201'!$H$72,'201'!$H$74,'201'!$H$76</definedName>
    <definedName name="OSRRefH22x_0" localSheetId="42">'202'!$H$21:$H$29,'202'!$H$31:$H$40,'202'!$H$42,'202'!$H$44,'202'!$H$46:$H$47,'202'!$H$49,'202'!$H$51,'202'!$H$53:$H$55,'202'!$H$57,'202'!$H$59:$H$61,'202'!$H$63,'202'!$H$65,'202'!$H$67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'205'!$H$20:$H$28,'205'!$H$30:$H$39,'205'!$H$41,'205'!$H$43,'205'!$H$45:$H$47,'205'!$H$49,'205'!$H$51:$H$53,'205'!$H$55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$124:$H$133,'300'!$H$135:$H$144,'300'!$H$146,'300'!$H$148:$H$149,'300'!$H$151,'300'!$H$153:$H$154,'300'!$H$156:$H$157,'300'!$H$159:$H$160,'300'!$H$162,'300'!$H$164,'300'!$H$166:$H$167,'300'!$H$169:$H$171,'300'!$H$173,'300'!$H$175:$H$176,'300'!$H$178,'300'!$H$180,'300'!$H$182:$H$185,'300'!$H$187:$H$190,'300'!$H$192:$H$195,'300'!$H$197:$H$198,'300'!$H$200:$H$208,'300'!$H$210:$H$211,'300'!$H$213,'300'!$H$215:$H$217,'300'!$H$219</definedName>
    <definedName name="OSRRefH22x_0" localSheetId="49">'300 &amp; 317'!$H$148:$H$157,'300 &amp; 317'!$H$159:$H$168,'300 &amp; 317'!$H$170,'300 &amp; 317'!$H$172:$H$173,'300 &amp; 317'!$H$175,'300 &amp; 317'!$H$177:$H$178,'300 &amp; 317'!$H$180:$H$181,'300 &amp; 317'!$H$183:$H$184,'300 &amp; 317'!$H$186,'300 &amp; 317'!$H$188,'300 &amp; 317'!$H$190:$H$191,'300 &amp; 317'!$H$193:$H$195,'300 &amp; 317'!$H$197,'300 &amp; 317'!$H$199:$H$200,'300 &amp; 317'!$H$202,'300 &amp; 317'!$H$204,'300 &amp; 317'!$H$206:$H$209,'300 &amp; 317'!$H$211:$H$214,'300 &amp; 317'!$H$216:$H$219,'300 &amp; 317'!$H$221:$H$222,'300 &amp; 317'!$H$224:$H$232,'300 &amp; 317'!$H$234:$H$235,'300 &amp; 317'!$H$237,'300 &amp; 317'!$H$239:$H$241,'300 &amp; 317'!$H$243</definedName>
    <definedName name="OSRRefH22x_0" localSheetId="50">'301'!$H$21:$H$30,'301'!$H$32:$H$41,'301'!$H$43,'301'!$H$45:$H$46,'301'!$H$48,'301'!$H$50:$H$51,'301'!$H$53,'301'!$H$55,'301'!$H$57,'301'!$H$59,'301'!$H$61,'301'!$H$63,'301'!$H$65,'301'!$H$67,'301'!$H$69,'301'!$H$71:$H$74,'301'!$H$76:$H$78,'301'!$H$80,'301'!$H$82:$H$88,'301'!$H$90,'301'!$H$92,'301'!$H$94:$H$95,'301'!$H$97</definedName>
    <definedName name="OSRRefH22x_0" localSheetId="51">'306'!$H$20:$H$28,'306'!$H$30:$H$39,'306'!$H$41,'306'!$H$43,'306'!$H$45,'306'!$H$47,'306'!$H$49:$H$50,'306'!$H$52:$H$53,'306'!$H$55,'306'!$H$57,'306'!$H$59</definedName>
    <definedName name="OSRRefH22x_0" localSheetId="53">'307'!$H$39:$H$46,'307'!$H$48:$H$57,'307'!$H$59,'307'!$H$61,'307'!$H$63,'307'!$H$65:$H$66,'307'!$H$68,'307'!$H$70,'307'!$H$72,'307'!$H$74:$H$75,'307'!$H$77:$H$78,'307'!$H$80:$H$83,'307'!$H$85:$H$86,'307'!$H$88</definedName>
    <definedName name="OSRRefH22x_0" localSheetId="54">'308'!$H$59:$H$68,'308'!$H$70:$H$79,'308'!$H$81,'308'!$H$83:$H$84,'308'!$H$86,'308'!$H$88,'308'!$H$90:$H$91,'308'!$H$93:$H$94,'308'!$H$96,'308'!$H$98:$H$99,'308'!$H$101:$H$102,'308'!$H$104:$H$106,'308'!$H$108:$H$109,'308'!$H$111,'308'!$H$113</definedName>
    <definedName name="OSRRefH22x_0" localSheetId="65">'309'!$H$22:$H$29,'309'!$H$31:$H$40,'309'!$H$42,'309'!$H$44,'309'!$H$46,'309'!$H$48,'309'!$H$50,'309'!$H$52:$H$53,'309'!$H$55:$H$56,'309'!$H$58:$H$60,'309'!$H$62</definedName>
    <definedName name="OSRRefH22x_0" localSheetId="64">'310'!$H$31:$H$39,'310'!$H$41:$H$50,'310'!$H$52,'310'!$H$54,'310'!$H$56,'310'!$H$58:$H$59,'310'!$H$61,'310'!$H$63,'310'!$H$65,'310'!$H$67,'310'!$H$69,'310'!$H$71,'310'!$H$73,'310'!$H$75:$H$78,'310'!$H$80:$H$81,'310'!$H$83:$H$86,'310'!$H$88,'310'!$H$90:$H$96,'310'!$H$98:$H$99,'310'!$H$101,'310'!$H$103,'310'!$H$105</definedName>
    <definedName name="OSRRefH22x_0" localSheetId="72">'310 &amp; 491'!$H$36:$H$44,'310 &amp; 491'!$H$46:$H$55,'310 &amp; 491'!$H$57,'310 &amp; 491'!$H$59,'310 &amp; 491'!$H$61,'310 &amp; 491'!$H$63:$H$65,'310 &amp; 491'!$H$67,'310 &amp; 491'!$H$69,'310 &amp; 491'!$H$71:$H$72,'310 &amp; 491'!$H$74,'310 &amp; 491'!$H$76,'310 &amp; 491'!$H$78,'310 &amp; 491'!$H$80,'310 &amp; 491'!$H$82:$H$85,'310 &amp; 491'!$H$87:$H$88,'310 &amp; 491'!$H$90:$H$94,'310 &amp; 491'!$H$96:$H$97,'310 &amp; 491'!$H$99:$H$109,'310 &amp; 491'!$H$111:$H$112,'310 &amp; 491'!$H$114,'310 &amp; 491'!$H$116:$H$118,'310 &amp; 491'!$H$120</definedName>
    <definedName name="OSRRefH22x_0" localSheetId="55">'311'!$H$58:$H$67,'311'!$H$69:$H$78,'311'!$H$80,'311'!$H$82:$H$83,'311'!$H$85,'311'!$H$87,'311'!$H$89:$H$90,'311'!$H$92:$H$93,'311'!$H$95,'311'!$H$97:$H$98,'311'!$H$100:$H$101,'311'!$H$103:$H$105,'311'!$H$107:$H$108,'311'!$H$110,'311'!$H$112</definedName>
    <definedName name="OSRRefH22x_0" localSheetId="66">'313'!$H$27:$H$35,'313'!$H$37:$H$46,'313'!$H$48,'313'!$H$50,'313'!$H$52,'313'!$H$54,'313'!$H$56:$H$57,'313'!$H$59,'313'!$H$61:$H$63,'313'!$H$65:$H$66,'313'!$H$68,'313'!$H$70</definedName>
    <definedName name="OSRRefH22x_0" localSheetId="58">'315'!$H$81:$H$89,'315'!$H$91:$H$100,'315'!$H$102,'315'!$H$104,'315'!$H$106,'315'!$H$108:$H$109,'315'!$H$111,'315'!$H$113:$H$114,'315'!$H$116,'315'!$H$118:$H$119,'315'!$H$121,'315'!$H$123,'315'!$H$125:$H$127,'315'!$H$129:$H$130,'315'!$H$132:$H$138,'315'!$H$140,'315'!$H$142,'315'!$H$144:$H$145</definedName>
    <definedName name="OSRRefH22x_0" localSheetId="61">'316'!$H$32:$H$40,'316'!$H$42:$H$51,'316'!$H$53,'316'!$H$55,'316'!$H$57,'316'!$H$59,'316'!$H$61:$H$62,'316'!$H$64:$H$66,'316'!$H$68,'316'!$H$70:$H$74,'316'!$H$76,'316'!$H$78</definedName>
    <definedName name="OSRRefH22x_0" localSheetId="63">'317'!$H$53:$H$62,'317'!$H$64:$H$73,'317'!$H$75,'317'!$H$77,'317'!$H$79,'317'!$H$81,'317'!$H$83:$H$84,'317'!$H$86,'317'!$H$88,'317'!$H$90:$H$91,'317'!$H$93,'317'!$H$95:$H$98,'317'!$H$100,'317'!$H$102</definedName>
    <definedName name="OSRRefH22x_0" localSheetId="67">'321'!$H$26:$H$34,'321'!$H$36:$H$45,'321'!$H$47,'321'!$H$49,'321'!$H$51,'321'!$H$53,'321'!$H$55,'321'!$H$57:$H$58,'321'!$H$60:$H$61,'321'!$H$63:$H$64,'321'!$H$66:$H$68,'321'!$H$70:$H$71,'321'!$H$73,'321'!$H$75</definedName>
    <definedName name="OSRRefH22x_0" localSheetId="68">'322'!$H$23:$H$30,'322'!$H$32:$H$41,'322'!$H$43,'322'!$H$45,'322'!$H$47,'322'!$H$49,'322'!$H$51,'322'!$H$53:$H$54,'322'!$H$56:$H$57,'322'!$H$59:$H$62,'322'!$H$64,'322'!$H$66</definedName>
    <definedName name="OSRRefH22x_0" localSheetId="56">'324'!$H$27:$H$34,'324'!$H$36:$H$45</definedName>
    <definedName name="OSRRefH22x_0" localSheetId="69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9">'326'!$H$48:$H$56,'326'!$H$58:$H$67,'326'!$H$69,'326'!$H$71,'326'!$H$73,'326'!$H$75,'326'!$H$77,'326'!$H$79,'326'!$H$81:$H$82,'326'!$H$84,'326'!$H$86,'326'!$H$88,'326'!$H$90,'326'!$H$92:$H$94,'326'!$H$96:$H$98,'326'!$H$100:$H$101,'326'!$H$103:$H$108,'326'!$H$110:$H$111,'326'!$H$113,'326'!$H$115:$H$116,'326'!$H$118</definedName>
    <definedName name="OSRRefH22x_0" localSheetId="70">'327'!$H$24,'327'!$H$26</definedName>
    <definedName name="OSRRefH22x_0" localSheetId="52">'330'!$H$42:$H$50,'330'!$H$52:$H$61,'330'!$H$63,'330'!$H$65,'330'!$H$67,'330'!$H$69:$H$70,'330'!$H$72,'330'!$H$74,'330'!$H$76,'330'!$H$78:$H$79,'330'!$H$81:$H$82,'330'!$H$84:$H$87,'330'!$H$89:$H$90,'330'!$H$92</definedName>
    <definedName name="OSRRefH22x_0" localSheetId="57">'331'!$H$82:$H$90,'331'!$H$92:$H$101,'331'!$H$103,'331'!$H$105,'331'!$H$107,'331'!$H$109:$H$110,'331'!$H$112,'331'!$H$114,'331'!$H$116:$H$117,'331'!$H$119:$H$120,'331'!$H$122,'331'!$H$124:$H$125,'331'!$H$127,'331'!$H$129,'331'!$H$131:$H$133,'331'!$H$135:$H$137,'331'!$H$139:$H$141,'331'!$H$143:$H$144,'331'!$H$146:$H$153,'331'!$H$155:$H$156,'331'!$H$158,'331'!$H$160:$H$161,'331'!$H$163</definedName>
    <definedName name="OSRRefH22x_0" localSheetId="60">'332'!$H$34:$H$42,'332'!$H$44:$H$53,'332'!$H$55,'332'!$H$57,'332'!$H$59,'332'!$H$61,'332'!$H$63:$H$64,'332'!$H$66:$H$68,'332'!$H$70,'332'!$H$72:$H$76,'332'!$H$78,'332'!$H$80</definedName>
    <definedName name="OSRRefH22x_0" localSheetId="74">'405'!$H$24:$H$31,'405'!$H$33:$H$42,'405'!$H$44,'405'!$H$46,'405'!$H$48:$H$49,'405'!$H$51,'405'!$H$53,'405'!$H$55,'405'!$H$57,'405'!$H$59:$H$60,'405'!$H$62,'405'!$H$64:$H$67,'405'!$H$69,'405'!$H$71:$H$79,'405'!$H$81,'405'!$H$83,'405'!$H$85,'405'!$H$87</definedName>
    <definedName name="OSRRefH22x_0" localSheetId="75">'406'!$H$20,'406'!$H$22,'406'!$H$24,'406'!$H$26,'406'!$H$28</definedName>
    <definedName name="OSRRefH22x_0" localSheetId="76">'411'!$H$20:$H$28,'411'!$H$30:$H$39,'411'!$H$41,'411'!$H$43,'411'!$H$45:$H$46,'411'!$H$48,'411'!$H$50,'411'!$H$52,'411'!$H$54,'411'!$H$56:$H$59,'411'!$H$61:$H$64,'411'!$H$66:$H$67,'411'!$H$69:$H$75,'411'!$H$77,'411'!$H$79,'411'!$H$81</definedName>
    <definedName name="OSRRefH22x_0" localSheetId="77">'412'!$H$22:$H$29,'412'!$H$31:$H$40,'412'!$H$42,'412'!$H$44,'412'!$H$46:$H$47,'412'!$H$49,'412'!$H$51,'412'!$H$53,'412'!$H$55:$H$56,'412'!$H$58,'412'!$H$60:$H$63,'412'!$H$65:$H$69,'412'!$H$71:$H$72,'412'!$H$74</definedName>
    <definedName name="OSRRefH22x_0" localSheetId="78">'413'!$H$23:$H$31,'413'!$H$33:$H$42,'413'!$H$44,'413'!$H$46,'413'!$H$48,'413'!$H$50,'413'!$H$52,'413'!$H$54,'413'!$H$56:$H$59,'413'!$H$61:$H$62,'413'!$H$64:$H$71,'413'!$H$73:$H$74,'413'!$H$76</definedName>
    <definedName name="OSRRefH22x_0" localSheetId="79">'414'!$H$25:$H$33,'414'!$H$35:$H$44,'414'!$H$46,'414'!$H$48,'414'!$H$50,'414'!$H$52,'414'!$H$54,'414'!$H$56,'414'!$H$58:$H$59,'414'!$H$61,'414'!$H$63,'414'!$H$65,'414'!$H$67:$H$69,'414'!$H$71,'414'!$H$73,'414'!$H$75</definedName>
    <definedName name="OSRRefH22x_0" localSheetId="80">'415'!$H$27:$H$35,'415'!$H$37:$H$46,'415'!$H$48,'415'!$H$50,'415'!$H$52,'415'!$H$54:$H$55,'415'!$H$57,'415'!$H$59,'415'!$H$61,'415'!$H$63,'415'!$H$65,'415'!$H$67:$H$68,'415'!$H$70:$H$74,'415'!$H$76,'415'!$H$78:$H$85,'415'!$H$87:$H$88,'415'!$H$90,'415'!$H$92:$H$93,'415'!$H$95</definedName>
    <definedName name="OSRRefH22x_0" localSheetId="81">'418'!$H$24:$H$31,'418'!$H$33:$H$42,'418'!$H$44,'418'!$H$46,'418'!$H$48:$H$49,'418'!$H$51,'418'!$H$53,'418'!$H$55,'418'!$H$57:$H$59,'418'!$H$61:$H$62,'418'!$H$64:$H$65,'418'!$H$67:$H$76,'418'!$H$78:$H$79,'418'!$H$81</definedName>
    <definedName name="OSRRefH22x_0" localSheetId="82">'420'!$H$22,'420'!$H$24</definedName>
    <definedName name="OSRRefH22x_0" localSheetId="83">'423'!$H$20:$H$27,'423'!$H$29:$H$38,'423'!$H$40,'423'!$H$42:$H$43,'423'!$H$45,'423'!$H$47,'423'!$H$49</definedName>
    <definedName name="OSRRefH22x_0" localSheetId="84">'424'!$H$20,'424'!$H$22,'424'!$H$24,'424'!$H$26</definedName>
    <definedName name="OSRRefH22x_0" localSheetId="85">'425'!$H$21:$H$25,'425'!$H$27,'425'!$H$29,'425'!$H$31,'425'!$H$33:$H$34,'425'!$H$36</definedName>
    <definedName name="OSRRefH22x_0" localSheetId="88">'430'!$H$20:$H$28,'430'!$H$30:$H$39,'430'!$H$41,'430'!$H$43,'430'!$H$45:$H$47,'430'!$H$49:$H$50,'430'!$H$52,'430'!$H$54</definedName>
    <definedName name="OSRRefH22x_0" localSheetId="89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90">'435'!$H$20</definedName>
    <definedName name="OSRRefH22x_0" localSheetId="91">'444'!$H$27:$H$36,'444'!$H$38:$H$47,'444'!$H$49,'444'!$H$51,'444'!$H$53,'444'!$H$55,'444'!$H$57,'444'!$H$59,'444'!$H$61,'444'!$H$63,'444'!$H$65,'444'!$H$67:$H$70,'444'!$H$72:$H$75,'444'!$H$77,'444'!$H$79:$H$87,'444'!$H$89:$H$90,'444'!$H$92,'444'!$H$94</definedName>
    <definedName name="OSRRefH22x_0" localSheetId="92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3">'491'!$H$30:$H$38,'491'!$H$40:$H$49,'491'!$H$51,'491'!$H$53,'491'!$H$55,'491'!$H$57:$H$59,'491'!$H$61,'491'!$H$63,'491'!$H$65,'491'!$H$67,'491'!$H$69,'491'!$H$71,'491'!$H$73,'491'!$H$75:$H$78,'491'!$H$80:$H$81,'491'!$H$83:$H$87,'491'!$H$89:$H$90,'491'!$H$92:$H$102,'491'!$H$104:$H$105,'491'!$H$107,'491'!$H$109:$H$111,'491'!$H$113</definedName>
    <definedName name="OSRRefH22x_0" localSheetId="87">'492'!$H$27:$H$36,'492'!$H$38:$H$47,'492'!$H$49,'492'!$H$51,'492'!$H$53,'492'!$H$55,'492'!$H$57,'492'!$H$59,'492'!$H$61,'492'!$H$63,'492'!$H$65,'492'!$H$67,'492'!$H$69:$H$72,'492'!$H$74:$H$77,'492'!$H$79,'492'!$H$81:$H$90,'492'!$H$92:$H$93,'492'!$H$95,'492'!$H$97:$H$98</definedName>
    <definedName name="OSRRefH22x_0" localSheetId="94">'501'!$H$21:$H$30,'501'!$H$32:$H$41,'501'!$H$43,'501'!$H$45,'501'!$H$47,'501'!$H$49:$H$50,'501'!$H$52,'501'!$H$54,'501'!$H$56,'501'!$H$58:$H$61,'501'!$H$63,'501'!$H$65:$H$66,'501'!$H$68,'501'!$H$70</definedName>
    <definedName name="OSRRefH22x_0" localSheetId="39">'Div 2'!$H$21:$H$31,'Div 2'!$H$33:$H$42,'Div 2'!$H$44,'Div 2'!$H$46,'Div 2'!$H$48,'Div 2'!$H$50:$H$51,'Div 2'!$H$53:$H$54,'Div 2'!$H$56,'Div 2'!$H$58,'Div 2'!$H$60:$H$61,'Div 2'!$H$63,'Div 2'!$H$65:$H$66,'Div 2'!$H$68:$H$71,'Div 2'!$H$73:$H$76,'Div 2'!$H$78:$H$79,'Div 2'!$H$81:$H$82,'Div 2'!$H$84:$H$88,'Div 2'!$H$90:$H$91,'Div 2'!$H$93,'Div 2'!$H$95:$H$96</definedName>
    <definedName name="OSRRefH22x_0" localSheetId="47">'Div 3'!$H$128:$H$137,'Div 3'!$H$139:$H$148,'Div 3'!$H$150,'Div 3'!$H$152:$H$153,'Div 3'!$H$155,'Div 3'!$H$157:$H$158,'Div 3'!$H$160:$H$161,'Div 3'!$H$163:$H$164,'Div 3'!$H$166,'Div 3'!$H$168,'Div 3'!$H$170:$H$171,'Div 3'!$H$173:$H$175,'Div 3'!$H$177,'Div 3'!$H$179,'Div 3'!$H$181:$H$182,'Div 3'!$H$184,'Div 3'!$H$186,'Div 3'!$H$188:$H$191,'Div 3'!$H$193:$H$196,'Div 3'!$H$198:$H$202,'Div 3'!$H$204:$H$205,'Div 3'!$H$207:$H$215,'Div 3'!$H$217:$H$218,'Div 3'!$H$220,'Div 3'!$H$222:$H$224,'Div 3'!$H$226</definedName>
    <definedName name="OSRRefH22x_0" localSheetId="71">'Div 4'!$H$32:$H$41,'Div 4'!$H$43:$H$52,'Div 4'!$H$54,'Div 4'!$H$56,'Div 4'!$H$58,'Div 4'!$H$60:$H$62,'Div 4'!$H$64,'Div 4'!$H$66,'Div 4'!$H$68,'Div 4'!$H$70,'Div 4'!$H$72,'Div 4'!$H$74,'Div 4'!$H$76,'Div 4'!$H$78,'Div 4'!$H$80,'Div 4'!$H$82:$H$85,'Div 4'!$H$87:$H$88,'Div 4'!$H$90:$H$94,'Div 4'!$H$96:$H$97,'Div 4'!$H$99:$H$109,'Div 4'!$H$111:$H$112,'Div 4'!$H$114,'Div 4'!$H$116:$H$118,'Div 4'!$H$120</definedName>
    <definedName name="OSRRefH22x_0" localSheetId="93">'Div 5'!$H$21:$H$30,'Div 5'!$H$32:$H$41,'Div 5'!$H$43,'Div 5'!$H$45,'Div 5'!$H$47,'Div 5'!$H$49:$H$50,'Div 5'!$H$52,'Div 5'!$H$54,'Div 5'!$H$56,'Div 5'!$H$58:$H$61,'Div 5'!$H$63,'Div 5'!$H$65:$H$66,'Div 5'!$H$68,'Div 5'!$H$70</definedName>
    <definedName name="OSRRefH22x_0" localSheetId="62">'Div 6'!$H$53:$H$62,'Div 6'!$H$64:$H$73,'Div 6'!$H$75,'Div 6'!$H$77,'Div 6'!$H$79,'Div 6'!$H$81,'Div 6'!$H$83:$H$84,'Div 6'!$H$86,'Div 6'!$H$88,'Div 6'!$H$90:$H$91,'Div 6'!$H$93,'Div 6'!$H$95:$H$98,'Div 6'!$H$100,'Div 6'!$H$102</definedName>
    <definedName name="OSRRefH22x_0" localSheetId="2">Summary!$H$158:$H$167,Summary!$H$169:$H$178,Summary!$H$180,Summary!$H$182:$H$183,Summary!$H$185,Summary!$H$187:$H$189,Summary!$H$191:$H$192,Summary!$H$194:$H$195,Summary!$H$197,Summary!$H$199,Summary!$H$201:$H$202,Summary!$H$204:$H$206,Summary!$H$208,Summary!$H$210,Summary!$H$212:$H$213,Summary!$H$215,Summary!$H$217,Summary!$H$219,Summary!$H$221:$H$224,Summary!$H$226:$H$229,Summary!$H$231:$H$235,Summary!$H$237:$H$238,Summary!$H$240:$H$250,Summary!$H$252:$H$253,Summary!$H$255,Summary!$H$257:$H$259,Summary!$H$261</definedName>
    <definedName name="OSRRefH25x_0" localSheetId="42">'202'!$H$70:$H$72</definedName>
    <definedName name="OSRRefH25x_0" localSheetId="48">'300'!$H$222:$H$226</definedName>
    <definedName name="OSRRefH25x_0" localSheetId="49">'300 &amp; 317'!$H$246:$H$251</definedName>
    <definedName name="OSRRefH25x_0" localSheetId="50">'301'!$H$100:$H$101</definedName>
    <definedName name="OSRRefH25x_0" localSheetId="54">'308'!$H$116:$H$118</definedName>
    <definedName name="OSRRefH25x_0" localSheetId="72">'310 &amp; 491'!$H$123:$H$126</definedName>
    <definedName name="OSRRefH25x_0" localSheetId="55">'311'!$H$115:$H$117</definedName>
    <definedName name="OSRRefH25x_0" localSheetId="58">'315'!$H$148:$H$151</definedName>
    <definedName name="OSRRefH25x_0" localSheetId="61">'316'!$H$81</definedName>
    <definedName name="OSRRefH25x_0" localSheetId="63">'317'!$H$105:$H$106</definedName>
    <definedName name="OSRRefH25x_0" localSheetId="57">'331'!$H$166:$H$169</definedName>
    <definedName name="OSRRefH25x_0" localSheetId="60">'332'!$H$83:$H$84</definedName>
    <definedName name="OSRRefH25x_0" localSheetId="76">'411'!$H$84:$H$85</definedName>
    <definedName name="OSRRefH25x_0" localSheetId="81">'418'!$H$84</definedName>
    <definedName name="OSRRefH25x_0" localSheetId="83">'423'!$H$52:$H$54</definedName>
    <definedName name="OSRRefH25x_0" localSheetId="86">'455'!$H$21:$H$22</definedName>
    <definedName name="OSRRefH25x_0" localSheetId="73">'491'!$H$116:$H$119</definedName>
    <definedName name="OSRRefH25x_0" localSheetId="94">'501'!$H$73</definedName>
    <definedName name="OSRRefH25x_0" localSheetId="39">'Div 2'!$H$99:$H$101</definedName>
    <definedName name="OSRRefH25x_0" localSheetId="47">'Div 3'!$H$229:$H$233</definedName>
    <definedName name="OSRRefH25x_0" localSheetId="71">'Div 4'!$H$123:$H$126</definedName>
    <definedName name="OSRRefH25x_0" localSheetId="93">'Div 5'!$H$73</definedName>
    <definedName name="OSRRefH25x_0" localSheetId="62">'Div 6'!$H$105:$H$106</definedName>
    <definedName name="OSRRefH25x_0" localSheetId="2">Summary!$H$264:$H$271</definedName>
    <definedName name="OSRRefP13x_0" localSheetId="41">'201'!$P$13</definedName>
    <definedName name="OSRRefP13x_0" localSheetId="42">'202'!$P$13</definedName>
    <definedName name="OSRRefP13x_0" localSheetId="48">'300'!$P$13:$P$77</definedName>
    <definedName name="OSRRefP13x_0" localSheetId="49">'300 &amp; 317'!$P$13:$P$92</definedName>
    <definedName name="OSRRefP13x_0" localSheetId="53">'307'!$P$13:$P$23</definedName>
    <definedName name="OSRRefP13x_0" localSheetId="54">'308'!$P$13:$P$35</definedName>
    <definedName name="OSRRefP13x_0" localSheetId="65">'309'!$P$13</definedName>
    <definedName name="OSRRefP13x_0" localSheetId="64">'310'!$P$13:$P$20</definedName>
    <definedName name="OSRRefP13x_0" localSheetId="72">'310 &amp; 491'!$P$13:$P$25</definedName>
    <definedName name="OSRRefP13x_0" localSheetId="55">'311'!$P$13:$P$34</definedName>
    <definedName name="OSRRefP13x_0" localSheetId="66">'313'!$P$13:$P$17</definedName>
    <definedName name="OSRRefP13x_0" localSheetId="58">'315'!$P$13:$P$50</definedName>
    <definedName name="OSRRefP13x_0" localSheetId="61">'316'!$P$13:$P$24</definedName>
    <definedName name="OSRRefP13x_0" localSheetId="63">'317'!$P$13:$P$31</definedName>
    <definedName name="OSRRefP13x_0" localSheetId="67">'321'!$P$13:$P$15</definedName>
    <definedName name="OSRRefP13x_0" localSheetId="68">'322'!$P$13</definedName>
    <definedName name="OSRRefP13x_0" localSheetId="56">'324'!$P$13:$P$16</definedName>
    <definedName name="OSRRefP13x_0" localSheetId="69">'325'!$P$13:$P$14</definedName>
    <definedName name="OSRRefP13x_0" localSheetId="59">'326'!$P$13:$P$33</definedName>
    <definedName name="OSRRefP13x_0" localSheetId="70">'327'!$P$13:$P$14</definedName>
    <definedName name="OSRRefP13x_0" localSheetId="52">'330'!$P$13:$P$26</definedName>
    <definedName name="OSRRefP13x_0" localSheetId="57">'331'!$P$13:$P$50</definedName>
    <definedName name="OSRRefP13x_0" localSheetId="60">'332'!$P$13:$P$24</definedName>
    <definedName name="OSRRefP13x_0" localSheetId="74">'405'!$P$13:$P$14</definedName>
    <definedName name="OSRRefP13x_0" localSheetId="77">'412'!$P$13</definedName>
    <definedName name="OSRRefP13x_0" localSheetId="78">'413'!$P$13:$P$14</definedName>
    <definedName name="OSRRefP13x_0" localSheetId="79">'414'!$P$13:$P$15</definedName>
    <definedName name="OSRRefP13x_0" localSheetId="80">'415'!$P$13:$P$16</definedName>
    <definedName name="OSRRefP13x_0" localSheetId="81">'418'!$P$13:$P$14</definedName>
    <definedName name="OSRRefP13x_0" localSheetId="82">'420'!$P$13:$P$14</definedName>
    <definedName name="OSRRefP13x_0" localSheetId="89">'433'!$P$13:$P$16</definedName>
    <definedName name="OSRRefP13x_0" localSheetId="91">'444'!$P$13:$P$16</definedName>
    <definedName name="OSRRefP13x_0" localSheetId="92">'450'!$P$13:$P$14</definedName>
    <definedName name="OSRRefP13x_0" localSheetId="73">'491'!$P$13:$P$19</definedName>
    <definedName name="OSRRefP13x_0" localSheetId="87">'492'!$P$13:$P$16</definedName>
    <definedName name="OSRRefP13x_0" localSheetId="94">'501'!$P$13</definedName>
    <definedName name="OSRRefP13x_0" localSheetId="39">'Div 2'!$P$13</definedName>
    <definedName name="OSRRefP13x_0" localSheetId="47">'Div 3'!$P$13:$P$79</definedName>
    <definedName name="OSRRefP13x_0" localSheetId="71">'Div 4'!$P$13:$P$21</definedName>
    <definedName name="OSRRefP13x_0" localSheetId="93">'Div 5'!$P$13</definedName>
    <definedName name="OSRRefP13x_0" localSheetId="62">'Div 6'!$P$13:$P$31</definedName>
    <definedName name="OSRRefP13x_0" localSheetId="2">Summary!$P$13:$P$100</definedName>
    <definedName name="OSRRefP16x_0" localSheetId="48">'300'!$P$80:$P$118</definedName>
    <definedName name="OSRRefP16x_0" localSheetId="49">'300 &amp; 317'!$P$95:$P$142</definedName>
    <definedName name="OSRRefP16x_0" localSheetId="50">'301'!$P$15</definedName>
    <definedName name="OSRRefP16x_0" localSheetId="53">'307'!$P$26:$P$33</definedName>
    <definedName name="OSRRefP16x_0" localSheetId="54">'308'!$P$38:$P$53</definedName>
    <definedName name="OSRRefP16x_0" localSheetId="65">'309'!$P$16</definedName>
    <definedName name="OSRRefP16x_0" localSheetId="64">'310'!$P$23:$P$25</definedName>
    <definedName name="OSRRefP16x_0" localSheetId="72">'310 &amp; 491'!$P$28:$P$30</definedName>
    <definedName name="OSRRefP16x_0" localSheetId="55">'311'!$P$37:$P$52</definedName>
    <definedName name="OSRRefP16x_0" localSheetId="66">'313'!$P$20:$P$21</definedName>
    <definedName name="OSRRefP16x_0" localSheetId="58">'315'!$P$53:$P$75</definedName>
    <definedName name="OSRRefP16x_0" localSheetId="63">'317'!$P$34:$P$47</definedName>
    <definedName name="OSRRefP16x_0" localSheetId="67">'321'!$P$18:$P$20</definedName>
    <definedName name="OSRRefP16x_0" localSheetId="68">'322'!$P$16:$P$17</definedName>
    <definedName name="OSRRefP16x_0" localSheetId="56">'324'!$P$19:$P$21</definedName>
    <definedName name="OSRRefP16x_0" localSheetId="69">'325'!$P$17:$P$19</definedName>
    <definedName name="OSRRefP16x_0" localSheetId="59">'326'!$P$36:$P$42</definedName>
    <definedName name="OSRRefP16x_0" localSheetId="70">'327'!$P$17:$P$18</definedName>
    <definedName name="OSRRefP16x_0" localSheetId="52">'330'!$P$29:$P$36</definedName>
    <definedName name="OSRRefP16x_0" localSheetId="57">'331'!$P$53:$P$76</definedName>
    <definedName name="OSRRefP16x_0" localSheetId="60">'332'!$P$27:$P$28</definedName>
    <definedName name="OSRRefP16x_0" localSheetId="74">'405'!$P$17:$P$18</definedName>
    <definedName name="OSRRefP16x_0" localSheetId="77">'412'!$P$16</definedName>
    <definedName name="OSRRefP16x_0" localSheetId="78">'413'!$P$17</definedName>
    <definedName name="OSRRefP16x_0" localSheetId="79">'414'!$P$18:$P$19</definedName>
    <definedName name="OSRRefP16x_0" localSheetId="80">'415'!$P$19:$P$21</definedName>
    <definedName name="OSRRefP16x_0" localSheetId="81">'418'!$P$17:$P$18</definedName>
    <definedName name="OSRRefP16x_0" localSheetId="85">'425'!$P$15</definedName>
    <definedName name="OSRRefP16x_0" localSheetId="89">'433'!$P$19:$P$21</definedName>
    <definedName name="OSRRefP16x_0" localSheetId="91">'444'!$P$19:$P$21</definedName>
    <definedName name="OSRRefP16x_0" localSheetId="92">'450'!$P$17</definedName>
    <definedName name="OSRRefP16x_0" localSheetId="73">'491'!$P$22:$P$24</definedName>
    <definedName name="OSRRefP16x_0" localSheetId="87">'492'!$P$19:$P$21</definedName>
    <definedName name="OSRRefP16x_0" localSheetId="47">'Div 3'!$P$82:$P$122</definedName>
    <definedName name="OSRRefP16x_0" localSheetId="71">'Div 4'!$P$24:$P$26</definedName>
    <definedName name="OSRRefP16x_0" localSheetId="62">'Div 6'!$P$34:$P$47</definedName>
    <definedName name="OSRRefP16x_0" localSheetId="2">Summary!$P$103:$P$152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'300'!$P$124:$P$133</definedName>
    <definedName name="OSRRefP22_0x_0" localSheetId="49">'300 &amp; 317'!$P$148:$P$157</definedName>
    <definedName name="OSRRefP22_0x_0" localSheetId="50">'301'!$P$21:$P$30</definedName>
    <definedName name="OSRRefP22_0x_0" localSheetId="51">'306'!$P$20:$P$28</definedName>
    <definedName name="OSRRefP22_0x_0" localSheetId="53">'307'!$P$39:$P$46</definedName>
    <definedName name="OSRRefP22_0x_0" localSheetId="54">'308'!$P$59:$P$68</definedName>
    <definedName name="OSRRefP22_0x_0" localSheetId="65">'309'!$P$22:$P$29</definedName>
    <definedName name="OSRRefP22_0x_0" localSheetId="64">'310'!$P$31:$P$39</definedName>
    <definedName name="OSRRefP22_0x_0" localSheetId="72">'310 &amp; 491'!$P$36:$P$44</definedName>
    <definedName name="OSRRefP22_0x_0" localSheetId="55">'311'!$P$58:$P$67</definedName>
    <definedName name="OSRRefP22_0x_0" localSheetId="66">'313'!$P$27:$P$35</definedName>
    <definedName name="OSRRefP22_0x_0" localSheetId="58">'315'!$P$81:$P$89</definedName>
    <definedName name="OSRRefP22_0x_0" localSheetId="61">'316'!$P$32:$P$40</definedName>
    <definedName name="OSRRefP22_0x_0" localSheetId="63">'317'!$P$53:$P$62</definedName>
    <definedName name="OSRRefP22_0x_0" localSheetId="67">'321'!$P$26:$P$34</definedName>
    <definedName name="OSRRefP22_0x_0" localSheetId="68">'322'!$P$23:$P$30</definedName>
    <definedName name="OSRRefP22_0x_0" localSheetId="56">'324'!$P$27:$P$34</definedName>
    <definedName name="OSRRefP22_0x_0" localSheetId="69">'325'!$P$25:$P$32</definedName>
    <definedName name="OSRRefP22_0x_0" localSheetId="59">'326'!$P$48:$P$56</definedName>
    <definedName name="OSRRefP22_0x_0" localSheetId="70">'327'!$P$24</definedName>
    <definedName name="OSRRefP22_0x_0" localSheetId="52">'330'!$P$42:$P$50</definedName>
    <definedName name="OSRRefP22_0x_0" localSheetId="57">'331'!$P$82:$P$90</definedName>
    <definedName name="OSRRefP22_0x_0" localSheetId="60">'332'!$P$34:$P$42</definedName>
    <definedName name="OSRRefP22_0x_0" localSheetId="74">'405'!$P$24:$P$31</definedName>
    <definedName name="OSRRefP22_0x_0" localSheetId="75">'406'!$P$20</definedName>
    <definedName name="OSRRefP22_0x_0" localSheetId="76">'411'!$P$20:$P$28</definedName>
    <definedName name="OSRRefP22_0x_0" localSheetId="77">'412'!$P$22:$P$29</definedName>
    <definedName name="OSRRefP22_0x_0" localSheetId="78">'413'!$P$23:$P$31</definedName>
    <definedName name="OSRRefP22_0x_0" localSheetId="79">'414'!$P$25:$P$33</definedName>
    <definedName name="OSRRefP22_0x_0" localSheetId="80">'415'!$P$27:$P$35</definedName>
    <definedName name="OSRRefP22_0x_0" localSheetId="81">'418'!$P$24:$P$31</definedName>
    <definedName name="OSRRefP22_0x_0" localSheetId="82">'420'!$P$22</definedName>
    <definedName name="OSRRefP22_0x_0" localSheetId="83">'423'!$P$20:$P$27</definedName>
    <definedName name="OSRRefP22_0x_0" localSheetId="84">'424'!$P$20</definedName>
    <definedName name="OSRRefP22_0x_0" localSheetId="85">'425'!$P$21:$P$25</definedName>
    <definedName name="OSRRefP22_0x_0" localSheetId="88">'430'!$P$20:$P$28</definedName>
    <definedName name="OSRRefP22_0x_0" localSheetId="89">'433'!$P$27:$P$36</definedName>
    <definedName name="OSRRefP22_0x_0" localSheetId="90">'435'!$P$20</definedName>
    <definedName name="OSRRefP22_0x_0" localSheetId="91">'444'!$P$27:$P$36</definedName>
    <definedName name="OSRRefP22_0x_0" localSheetId="92">'450'!$P$23:$P$32</definedName>
    <definedName name="OSRRefP22_0x_0" localSheetId="73">'491'!$P$30:$P$38</definedName>
    <definedName name="OSRRefP22_0x_0" localSheetId="87">'492'!$P$27:$P$36</definedName>
    <definedName name="OSRRefP22_0x_0" localSheetId="94">'501'!$P$21:$P$30</definedName>
    <definedName name="OSRRefP22_0x_0" localSheetId="39">'Div 2'!$P$21:$P$31</definedName>
    <definedName name="OSRRefP22_0x_0" localSheetId="47">'Div 3'!$P$128:$P$137</definedName>
    <definedName name="OSRRefP22_0x_0" localSheetId="71">'Div 4'!$P$32:$P$41</definedName>
    <definedName name="OSRRefP22_0x_0" localSheetId="93">'Div 5'!$P$21:$P$30</definedName>
    <definedName name="OSRRefP22_0x_0" localSheetId="62">'Div 6'!$P$53:$P$62</definedName>
    <definedName name="OSRRefP22_0x_0" localSheetId="2">Summary!$P$158:$P$167</definedName>
    <definedName name="OSRRefP22_10x_0" localSheetId="41">'201'!$P$59:$P$61</definedName>
    <definedName name="OSRRefP22_10x_0" localSheetId="42">'202'!$P$63</definedName>
    <definedName name="OSRRefP22_10x_0" localSheetId="43">'203'!$P$62</definedName>
    <definedName name="OSRRefP22_10x_0" localSheetId="44">'204'!$P$62:$P$63</definedName>
    <definedName name="OSRRefP22_10x_0" localSheetId="48">'300'!$P$166:$P$167</definedName>
    <definedName name="OSRRefP22_10x_0" localSheetId="49">'300 &amp; 317'!$P$190:$P$191</definedName>
    <definedName name="OSRRefP22_10x_0" localSheetId="50">'301'!$P$61</definedName>
    <definedName name="OSRRefP22_10x_0" localSheetId="51">'306'!$P$59</definedName>
    <definedName name="OSRRefP22_10x_0" localSheetId="53">'307'!$P$77:$P$78</definedName>
    <definedName name="OSRRefP22_10x_0" localSheetId="54">'308'!$P$101:$P$102</definedName>
    <definedName name="OSRRefP22_10x_0" localSheetId="65">'309'!$P$62</definedName>
    <definedName name="OSRRefP22_10x_0" localSheetId="64">'310'!$P$69</definedName>
    <definedName name="OSRRefP22_10x_0" localSheetId="72">'310 &amp; 491'!$P$76</definedName>
    <definedName name="OSRRefP22_10x_0" localSheetId="55">'311'!$P$100:$P$101</definedName>
    <definedName name="OSRRefP22_10x_0" localSheetId="66">'313'!$P$68</definedName>
    <definedName name="OSRRefP22_10x_0" localSheetId="58">'315'!$P$121</definedName>
    <definedName name="OSRRefP22_10x_0" localSheetId="61">'316'!$P$76</definedName>
    <definedName name="OSRRefP22_10x_0" localSheetId="63">'317'!$P$93</definedName>
    <definedName name="OSRRefP22_10x_0" localSheetId="67">'321'!$P$66:$P$68</definedName>
    <definedName name="OSRRefP22_10x_0" localSheetId="68">'322'!$P$64</definedName>
    <definedName name="OSRRefP22_10x_0" localSheetId="69">'325'!$P$62</definedName>
    <definedName name="OSRRefP22_10x_0" localSheetId="59">'326'!$P$86</definedName>
    <definedName name="OSRRefP22_10x_0" localSheetId="52">'330'!$P$81:$P$82</definedName>
    <definedName name="OSRRefP22_10x_0" localSheetId="57">'331'!$P$122</definedName>
    <definedName name="OSRRefP22_10x_0" localSheetId="60">'332'!$P$78</definedName>
    <definedName name="OSRRefP22_10x_0" localSheetId="74">'405'!$P$62</definedName>
    <definedName name="OSRRefP22_10x_0" localSheetId="76">'411'!$P$61:$P$64</definedName>
    <definedName name="OSRRefP22_10x_0" localSheetId="77">'412'!$P$60:$P$63</definedName>
    <definedName name="OSRRefP22_10x_0" localSheetId="78">'413'!$P$64:$P$71</definedName>
    <definedName name="OSRRefP22_10x_0" localSheetId="79">'414'!$P$63</definedName>
    <definedName name="OSRRefP22_10x_0" localSheetId="80">'415'!$P$65</definedName>
    <definedName name="OSRRefP22_10x_0" localSheetId="81">'418'!$P$64:$P$65</definedName>
    <definedName name="OSRRefP22_10x_0" localSheetId="89">'433'!$P$65</definedName>
    <definedName name="OSRRefP22_10x_0" localSheetId="91">'444'!$P$65</definedName>
    <definedName name="OSRRefP22_10x_0" localSheetId="92">'450'!$P$61</definedName>
    <definedName name="OSRRefP22_10x_0" localSheetId="73">'491'!$P$69</definedName>
    <definedName name="OSRRefP22_10x_0" localSheetId="87">'492'!$P$65</definedName>
    <definedName name="OSRRefP22_10x_0" localSheetId="94">'501'!$P$63</definedName>
    <definedName name="OSRRefP22_10x_0" localSheetId="39">'Div 2'!$P$63</definedName>
    <definedName name="OSRRefP22_10x_0" localSheetId="47">'Div 3'!$P$170:$P$171</definedName>
    <definedName name="OSRRefP22_10x_0" localSheetId="71">'Div 4'!$P$72</definedName>
    <definedName name="OSRRefP22_10x_0" localSheetId="93">'Div 5'!$P$63</definedName>
    <definedName name="OSRRefP22_10x_0" localSheetId="62">'Div 6'!$P$93</definedName>
    <definedName name="OSRRefP22_10x_0" localSheetId="2">Summary!$P$201:$P$202</definedName>
    <definedName name="OSRRefP22_11x_0" localSheetId="41">'201'!$P$63:$P$64</definedName>
    <definedName name="OSRRefP22_11x_0" localSheetId="42">'202'!$P$65</definedName>
    <definedName name="OSRRefP22_11x_0" localSheetId="43">'203'!$P$64:$P$66</definedName>
    <definedName name="OSRRefP22_11x_0" localSheetId="44">'204'!$P$65</definedName>
    <definedName name="OSRRefP22_11x_0" localSheetId="48">'300'!$P$169:$P$171</definedName>
    <definedName name="OSRRefP22_11x_0" localSheetId="49">'300 &amp; 317'!$P$193:$P$195</definedName>
    <definedName name="OSRRefP22_11x_0" localSheetId="50">'301'!$P$63</definedName>
    <definedName name="OSRRefP22_11x_0" localSheetId="53">'307'!$P$80:$P$83</definedName>
    <definedName name="OSRRefP22_11x_0" localSheetId="54">'308'!$P$104:$P$106</definedName>
    <definedName name="OSRRefP22_11x_0" localSheetId="64">'310'!$P$71</definedName>
    <definedName name="OSRRefP22_11x_0" localSheetId="72">'310 &amp; 491'!$P$78</definedName>
    <definedName name="OSRRefP22_11x_0" localSheetId="55">'311'!$P$103:$P$105</definedName>
    <definedName name="OSRRefP22_11x_0" localSheetId="66">'313'!$P$70</definedName>
    <definedName name="OSRRefP22_11x_0" localSheetId="58">'315'!$P$123</definedName>
    <definedName name="OSRRefP22_11x_0" localSheetId="61">'316'!$P$78</definedName>
    <definedName name="OSRRefP22_11x_0" localSheetId="63">'317'!$P$95:$P$98</definedName>
    <definedName name="OSRRefP22_11x_0" localSheetId="67">'321'!$P$70:$P$71</definedName>
    <definedName name="OSRRefP22_11x_0" localSheetId="68">'322'!$P$66</definedName>
    <definedName name="OSRRefP22_11x_0" localSheetId="69">'325'!$P$64:$P$67</definedName>
    <definedName name="OSRRefP22_11x_0" localSheetId="59">'326'!$P$88</definedName>
    <definedName name="OSRRefP22_11x_0" localSheetId="52">'330'!$P$84:$P$87</definedName>
    <definedName name="OSRRefP22_11x_0" localSheetId="57">'331'!$P$124:$P$125</definedName>
    <definedName name="OSRRefP22_11x_0" localSheetId="60">'332'!$P$80</definedName>
    <definedName name="OSRRefP22_11x_0" localSheetId="74">'405'!$P$64:$P$67</definedName>
    <definedName name="OSRRefP22_11x_0" localSheetId="76">'411'!$P$66:$P$67</definedName>
    <definedName name="OSRRefP22_11x_0" localSheetId="77">'412'!$P$65:$P$69</definedName>
    <definedName name="OSRRefP22_11x_0" localSheetId="78">'413'!$P$73:$P$74</definedName>
    <definedName name="OSRRefP22_11x_0" localSheetId="79">'414'!$P$65</definedName>
    <definedName name="OSRRefP22_11x_0" localSheetId="80">'415'!$P$67:$P$68</definedName>
    <definedName name="OSRRefP22_11x_0" localSheetId="81">'418'!$P$67:$P$76</definedName>
    <definedName name="OSRRefP22_11x_0" localSheetId="89">'433'!$P$67:$P$69</definedName>
    <definedName name="OSRRefP22_11x_0" localSheetId="91">'444'!$P$67:$P$70</definedName>
    <definedName name="OSRRefP22_11x_0" localSheetId="92">'450'!$P$63</definedName>
    <definedName name="OSRRefP22_11x_0" localSheetId="73">'491'!$P$71</definedName>
    <definedName name="OSRRefP22_11x_0" localSheetId="87">'492'!$P$67</definedName>
    <definedName name="OSRRefP22_11x_0" localSheetId="94">'501'!$P$65:$P$66</definedName>
    <definedName name="OSRRefP22_11x_0" localSheetId="39">'Div 2'!$P$65:$P$66</definedName>
    <definedName name="OSRRefP22_11x_0" localSheetId="47">'Div 3'!$P$173:$P$175</definedName>
    <definedName name="OSRRefP22_11x_0" localSheetId="71">'Div 4'!$P$74</definedName>
    <definedName name="OSRRefP22_11x_0" localSheetId="93">'Div 5'!$P$65:$P$66</definedName>
    <definedName name="OSRRefP22_11x_0" localSheetId="62">'Div 6'!$P$95:$P$98</definedName>
    <definedName name="OSRRefP22_11x_0" localSheetId="2">Summary!$P$204:$P$206</definedName>
    <definedName name="OSRRefP22_12x_0" localSheetId="41">'201'!$P$66</definedName>
    <definedName name="OSRRefP22_12x_0" localSheetId="42">'202'!$P$67</definedName>
    <definedName name="OSRRefP22_12x_0" localSheetId="43">'203'!$P$68</definedName>
    <definedName name="OSRRefP22_12x_0" localSheetId="44">'204'!$P$67</definedName>
    <definedName name="OSRRefP22_12x_0" localSheetId="48">'300'!$P$173</definedName>
    <definedName name="OSRRefP22_12x_0" localSheetId="49">'300 &amp; 317'!$P$197</definedName>
    <definedName name="OSRRefP22_12x_0" localSheetId="50">'301'!$P$65</definedName>
    <definedName name="OSRRefP22_12x_0" localSheetId="53">'307'!$P$85:$P$86</definedName>
    <definedName name="OSRRefP22_12x_0" localSheetId="54">'308'!$P$108:$P$109</definedName>
    <definedName name="OSRRefP22_12x_0" localSheetId="64">'310'!$P$73</definedName>
    <definedName name="OSRRefP22_12x_0" localSheetId="72">'310 &amp; 491'!$P$80</definedName>
    <definedName name="OSRRefP22_12x_0" localSheetId="55">'311'!$P$107:$P$108</definedName>
    <definedName name="OSRRefP22_12x_0" localSheetId="58">'315'!$P$125:$P$127</definedName>
    <definedName name="OSRRefP22_12x_0" localSheetId="63">'317'!$P$100</definedName>
    <definedName name="OSRRefP22_12x_0" localSheetId="67">'321'!$P$73</definedName>
    <definedName name="OSRRefP22_12x_0" localSheetId="69">'325'!$P$69:$P$71</definedName>
    <definedName name="OSRRefP22_12x_0" localSheetId="59">'326'!$P$90</definedName>
    <definedName name="OSRRefP22_12x_0" localSheetId="52">'330'!$P$89:$P$90</definedName>
    <definedName name="OSRRefP22_12x_0" localSheetId="57">'331'!$P$127</definedName>
    <definedName name="OSRRefP22_12x_0" localSheetId="74">'405'!$P$69</definedName>
    <definedName name="OSRRefP22_12x_0" localSheetId="76">'411'!$P$69:$P$75</definedName>
    <definedName name="OSRRefP22_12x_0" localSheetId="77">'412'!$P$71:$P$72</definedName>
    <definedName name="OSRRefP22_12x_0" localSheetId="78">'413'!$P$76</definedName>
    <definedName name="OSRRefP22_12x_0" localSheetId="79">'414'!$P$67:$P$69</definedName>
    <definedName name="OSRRefP22_12x_0" localSheetId="80">'415'!$P$70:$P$74</definedName>
    <definedName name="OSRRefP22_12x_0" localSheetId="81">'418'!$P$78:$P$79</definedName>
    <definedName name="OSRRefP22_12x_0" localSheetId="89">'433'!$P$71:$P$74</definedName>
    <definedName name="OSRRefP22_12x_0" localSheetId="91">'444'!$P$72:$P$75</definedName>
    <definedName name="OSRRefP22_12x_0" localSheetId="92">'450'!$P$65</definedName>
    <definedName name="OSRRefP22_12x_0" localSheetId="73">'491'!$P$73</definedName>
    <definedName name="OSRRefP22_12x_0" localSheetId="87">'492'!$P$69:$P$72</definedName>
    <definedName name="OSRRefP22_12x_0" localSheetId="94">'501'!$P$68</definedName>
    <definedName name="OSRRefP22_12x_0" localSheetId="39">'Div 2'!$P$68:$P$71</definedName>
    <definedName name="OSRRefP22_12x_0" localSheetId="47">'Div 3'!$P$177</definedName>
    <definedName name="OSRRefP22_12x_0" localSheetId="71">'Div 4'!$P$76</definedName>
    <definedName name="OSRRefP22_12x_0" localSheetId="93">'Div 5'!$P$68</definedName>
    <definedName name="OSRRefP22_12x_0" localSheetId="62">'Div 6'!$P$100</definedName>
    <definedName name="OSRRefP22_12x_0" localSheetId="2">Summary!$P$208</definedName>
    <definedName name="OSRRefP22_13x_0" localSheetId="41">'201'!$P$68:$P$70</definedName>
    <definedName name="OSRRefP22_13x_0" localSheetId="43">'203'!$P$70</definedName>
    <definedName name="OSRRefP22_13x_0" localSheetId="48">'300'!$P$175:$P$176</definedName>
    <definedName name="OSRRefP22_13x_0" localSheetId="49">'300 &amp; 317'!$P$199:$P$200</definedName>
    <definedName name="OSRRefP22_13x_0" localSheetId="50">'301'!$P$67</definedName>
    <definedName name="OSRRefP22_13x_0" localSheetId="53">'307'!$P$88</definedName>
    <definedName name="OSRRefP22_13x_0" localSheetId="54">'308'!$P$111</definedName>
    <definedName name="OSRRefP22_13x_0" localSheetId="64">'310'!$P$75:$P$78</definedName>
    <definedName name="OSRRefP22_13x_0" localSheetId="72">'310 &amp; 491'!$P$82:$P$85</definedName>
    <definedName name="OSRRefP22_13x_0" localSheetId="55">'311'!$P$110</definedName>
    <definedName name="OSRRefP22_13x_0" localSheetId="58">'315'!$P$129:$P$130</definedName>
    <definedName name="OSRRefP22_13x_0" localSheetId="63">'317'!$P$102</definedName>
    <definedName name="OSRRefP22_13x_0" localSheetId="67">'321'!$P$75</definedName>
    <definedName name="OSRRefP22_13x_0" localSheetId="69">'325'!$P$73</definedName>
    <definedName name="OSRRefP22_13x_0" localSheetId="59">'326'!$P$92:$P$94</definedName>
    <definedName name="OSRRefP22_13x_0" localSheetId="52">'330'!$P$92</definedName>
    <definedName name="OSRRefP22_13x_0" localSheetId="57">'331'!$P$129</definedName>
    <definedName name="OSRRefP22_13x_0" localSheetId="74">'405'!$P$71:$P$79</definedName>
    <definedName name="OSRRefP22_13x_0" localSheetId="76">'411'!$P$77</definedName>
    <definedName name="OSRRefP22_13x_0" localSheetId="77">'412'!$P$74</definedName>
    <definedName name="OSRRefP22_13x_0" localSheetId="79">'414'!$P$71</definedName>
    <definedName name="OSRRefP22_13x_0" localSheetId="80">'415'!$P$76</definedName>
    <definedName name="OSRRefP22_13x_0" localSheetId="81">'418'!$P$81</definedName>
    <definedName name="OSRRefP22_13x_0" localSheetId="89">'433'!$P$76:$P$83</definedName>
    <definedName name="OSRRefP22_13x_0" localSheetId="91">'444'!$P$77</definedName>
    <definedName name="OSRRefP22_13x_0" localSheetId="92">'450'!$P$67:$P$69</definedName>
    <definedName name="OSRRefP22_13x_0" localSheetId="73">'491'!$P$75:$P$78</definedName>
    <definedName name="OSRRefP22_13x_0" localSheetId="87">'492'!$P$74:$P$77</definedName>
    <definedName name="OSRRefP22_13x_0" localSheetId="94">'501'!$P$70</definedName>
    <definedName name="OSRRefP22_13x_0" localSheetId="39">'Div 2'!$P$73:$P$76</definedName>
    <definedName name="OSRRefP22_13x_0" localSheetId="47">'Div 3'!$P$179</definedName>
    <definedName name="OSRRefP22_13x_0" localSheetId="71">'Div 4'!$P$78</definedName>
    <definedName name="OSRRefP22_13x_0" localSheetId="93">'Div 5'!$P$70</definedName>
    <definedName name="OSRRefP22_13x_0" localSheetId="62">'Div 6'!$P$102</definedName>
    <definedName name="OSRRefP22_13x_0" localSheetId="2">Summary!$P$210</definedName>
    <definedName name="OSRRefP22_14x_0" localSheetId="41">'201'!$P$72</definedName>
    <definedName name="OSRRefP22_14x_0" localSheetId="43">'203'!$P$72</definedName>
    <definedName name="OSRRefP22_14x_0" localSheetId="48">'300'!$P$178</definedName>
    <definedName name="OSRRefP22_14x_0" localSheetId="49">'300 &amp; 317'!$P$202</definedName>
    <definedName name="OSRRefP22_14x_0" localSheetId="50">'301'!$P$69</definedName>
    <definedName name="OSRRefP22_14x_0" localSheetId="54">'308'!$P$113</definedName>
    <definedName name="OSRRefP22_14x_0" localSheetId="64">'310'!$P$80:$P$81</definedName>
    <definedName name="OSRRefP22_14x_0" localSheetId="72">'310 &amp; 491'!$P$87:$P$88</definedName>
    <definedName name="OSRRefP22_14x_0" localSheetId="55">'311'!$P$112</definedName>
    <definedName name="OSRRefP22_14x_0" localSheetId="58">'315'!$P$132:$P$138</definedName>
    <definedName name="OSRRefP22_14x_0" localSheetId="69">'325'!$P$75:$P$79</definedName>
    <definedName name="OSRRefP22_14x_0" localSheetId="59">'326'!$P$96:$P$98</definedName>
    <definedName name="OSRRefP22_14x_0" localSheetId="57">'331'!$P$131:$P$133</definedName>
    <definedName name="OSRRefP22_14x_0" localSheetId="74">'405'!$P$81</definedName>
    <definedName name="OSRRefP22_14x_0" localSheetId="76">'411'!$P$79</definedName>
    <definedName name="OSRRefP22_14x_0" localSheetId="79">'414'!$P$73</definedName>
    <definedName name="OSRRefP22_14x_0" localSheetId="80">'415'!$P$78:$P$85</definedName>
    <definedName name="OSRRefP22_14x_0" localSheetId="89">'433'!$P$85</definedName>
    <definedName name="OSRRefP22_14x_0" localSheetId="91">'444'!$P$79:$P$87</definedName>
    <definedName name="OSRRefP22_14x_0" localSheetId="92">'450'!$P$71:$P$77</definedName>
    <definedName name="OSRRefP22_14x_0" localSheetId="73">'491'!$P$80:$P$81</definedName>
    <definedName name="OSRRefP22_14x_0" localSheetId="87">'492'!$P$79</definedName>
    <definedName name="OSRRefP22_14x_0" localSheetId="39">'Div 2'!$P$78:$P$79</definedName>
    <definedName name="OSRRefP22_14x_0" localSheetId="47">'Div 3'!$P$181:$P$182</definedName>
    <definedName name="OSRRefP22_14x_0" localSheetId="71">'Div 4'!$P$80</definedName>
    <definedName name="OSRRefP22_14x_0" localSheetId="2">Summary!$P$212:$P$213</definedName>
    <definedName name="OSRRefP22_15x_0" localSheetId="41">'201'!$P$74</definedName>
    <definedName name="OSRRefP22_15x_0" localSheetId="48">'300'!$P$180</definedName>
    <definedName name="OSRRefP22_15x_0" localSheetId="49">'300 &amp; 317'!$P$204</definedName>
    <definedName name="OSRRefP22_15x_0" localSheetId="50">'301'!$P$71:$P$74</definedName>
    <definedName name="OSRRefP22_15x_0" localSheetId="64">'310'!$P$83:$P$86</definedName>
    <definedName name="OSRRefP22_15x_0" localSheetId="72">'310 &amp; 491'!$P$90:$P$94</definedName>
    <definedName name="OSRRefP22_15x_0" localSheetId="58">'315'!$P$140</definedName>
    <definedName name="OSRRefP22_15x_0" localSheetId="69">'325'!$P$81:$P$82</definedName>
    <definedName name="OSRRefP22_15x_0" localSheetId="59">'326'!$P$100:$P$101</definedName>
    <definedName name="OSRRefP22_15x_0" localSheetId="57">'331'!$P$135:$P$137</definedName>
    <definedName name="OSRRefP22_15x_0" localSheetId="74">'405'!$P$83</definedName>
    <definedName name="OSRRefP22_15x_0" localSheetId="76">'411'!$P$81</definedName>
    <definedName name="OSRRefP22_15x_0" localSheetId="79">'414'!$P$75</definedName>
    <definedName name="OSRRefP22_15x_0" localSheetId="80">'415'!$P$87:$P$88</definedName>
    <definedName name="OSRRefP22_15x_0" localSheetId="89">'433'!$P$87</definedName>
    <definedName name="OSRRefP22_15x_0" localSheetId="91">'444'!$P$89:$P$90</definedName>
    <definedName name="OSRRefP22_15x_0" localSheetId="92">'450'!$P$79:$P$80</definedName>
    <definedName name="OSRRefP22_15x_0" localSheetId="73">'491'!$P$83:$P$87</definedName>
    <definedName name="OSRRefP22_15x_0" localSheetId="87">'492'!$P$81:$P$90</definedName>
    <definedName name="OSRRefP22_15x_0" localSheetId="39">'Div 2'!$P$81:$P$82</definedName>
    <definedName name="OSRRefP22_15x_0" localSheetId="47">'Div 3'!$P$184</definedName>
    <definedName name="OSRRefP22_15x_0" localSheetId="71">'Div 4'!$P$82:$P$85</definedName>
    <definedName name="OSRRefP22_15x_0" localSheetId="2">Summary!$P$215</definedName>
    <definedName name="OSRRefP22_16x_0" localSheetId="41">'201'!$P$76</definedName>
    <definedName name="OSRRefP22_16x_0" localSheetId="48">'300'!$P$182:$P$185</definedName>
    <definedName name="OSRRefP22_16x_0" localSheetId="49">'300 &amp; 317'!$P$206:$P$209</definedName>
    <definedName name="OSRRefP22_16x_0" localSheetId="50">'301'!$P$76:$P$78</definedName>
    <definedName name="OSRRefP22_16x_0" localSheetId="64">'310'!$P$88</definedName>
    <definedName name="OSRRefP22_16x_0" localSheetId="72">'310 &amp; 491'!$P$96:$P$97</definedName>
    <definedName name="OSRRefP22_16x_0" localSheetId="58">'315'!$P$142</definedName>
    <definedName name="OSRRefP22_16x_0" localSheetId="69">'325'!$P$84</definedName>
    <definedName name="OSRRefP22_16x_0" localSheetId="59">'326'!$P$103:$P$108</definedName>
    <definedName name="OSRRefP22_16x_0" localSheetId="57">'331'!$P$139:$P$141</definedName>
    <definedName name="OSRRefP22_16x_0" localSheetId="74">'405'!$P$85</definedName>
    <definedName name="OSRRefP22_16x_0" localSheetId="80">'415'!$P$90</definedName>
    <definedName name="OSRRefP22_16x_0" localSheetId="91">'444'!$P$92</definedName>
    <definedName name="OSRRefP22_16x_0" localSheetId="92">'450'!$P$82</definedName>
    <definedName name="OSRRefP22_16x_0" localSheetId="73">'491'!$P$89:$P$90</definedName>
    <definedName name="OSRRefP22_16x_0" localSheetId="87">'492'!$P$92:$P$93</definedName>
    <definedName name="OSRRefP22_16x_0" localSheetId="39">'Div 2'!$P$84:$P$88</definedName>
    <definedName name="OSRRefP22_16x_0" localSheetId="47">'Div 3'!$P$186</definedName>
    <definedName name="OSRRefP22_16x_0" localSheetId="71">'Div 4'!$P$87:$P$88</definedName>
    <definedName name="OSRRefP22_16x_0" localSheetId="2">Summary!$P$217</definedName>
    <definedName name="OSRRefP22_17x_0" localSheetId="48">'300'!$P$187:$P$190</definedName>
    <definedName name="OSRRefP22_17x_0" localSheetId="49">'300 &amp; 317'!$P$211:$P$214</definedName>
    <definedName name="OSRRefP22_17x_0" localSheetId="50">'301'!$P$80</definedName>
    <definedName name="OSRRefP22_17x_0" localSheetId="64">'310'!$P$90:$P$96</definedName>
    <definedName name="OSRRefP22_17x_0" localSheetId="72">'310 &amp; 491'!$P$99:$P$109</definedName>
    <definedName name="OSRRefP22_17x_0" localSheetId="58">'315'!$P$144:$P$145</definedName>
    <definedName name="OSRRefP22_17x_0" localSheetId="69">'325'!$P$86</definedName>
    <definedName name="OSRRefP22_17x_0" localSheetId="59">'326'!$P$110:$P$111</definedName>
    <definedName name="OSRRefP22_17x_0" localSheetId="57">'331'!$P$143:$P$144</definedName>
    <definedName name="OSRRefP22_17x_0" localSheetId="74">'405'!$P$87</definedName>
    <definedName name="OSRRefP22_17x_0" localSheetId="80">'415'!$P$92:$P$93</definedName>
    <definedName name="OSRRefP22_17x_0" localSheetId="91">'444'!$P$94</definedName>
    <definedName name="OSRRefP22_17x_0" localSheetId="73">'491'!$P$92:$P$102</definedName>
    <definedName name="OSRRefP22_17x_0" localSheetId="87">'492'!$P$95</definedName>
    <definedName name="OSRRefP22_17x_0" localSheetId="39">'Div 2'!$P$90:$P$91</definedName>
    <definedName name="OSRRefP22_17x_0" localSheetId="47">'Div 3'!$P$188:$P$191</definedName>
    <definedName name="OSRRefP22_17x_0" localSheetId="71">'Div 4'!$P$90:$P$94</definedName>
    <definedName name="OSRRefP22_17x_0" localSheetId="2">Summary!$P$219</definedName>
    <definedName name="OSRRefP22_18x_0" localSheetId="48">'300'!$P$192:$P$195</definedName>
    <definedName name="OSRRefP22_18x_0" localSheetId="49">'300 &amp; 317'!$P$216:$P$219</definedName>
    <definedName name="OSRRefP22_18x_0" localSheetId="50">'301'!$P$82:$P$88</definedName>
    <definedName name="OSRRefP22_18x_0" localSheetId="64">'310'!$P$98:$P$99</definedName>
    <definedName name="OSRRefP22_18x_0" localSheetId="72">'310 &amp; 491'!$P$111:$P$112</definedName>
    <definedName name="OSRRefP22_18x_0" localSheetId="59">'326'!$P$113</definedName>
    <definedName name="OSRRefP22_18x_0" localSheetId="57">'331'!$P$146:$P$153</definedName>
    <definedName name="OSRRefP22_18x_0" localSheetId="80">'415'!$P$95</definedName>
    <definedName name="OSRRefP22_18x_0" localSheetId="73">'491'!$P$104:$P$105</definedName>
    <definedName name="OSRRefP22_18x_0" localSheetId="87">'492'!$P$97:$P$98</definedName>
    <definedName name="OSRRefP22_18x_0" localSheetId="39">'Div 2'!$P$93</definedName>
    <definedName name="OSRRefP22_18x_0" localSheetId="47">'Div 3'!$P$193:$P$196</definedName>
    <definedName name="OSRRefP22_18x_0" localSheetId="71">'Div 4'!$P$96:$P$97</definedName>
    <definedName name="OSRRefP22_18x_0" localSheetId="2">Summary!$P$221:$P$224</definedName>
    <definedName name="OSRRefP22_19x_0" localSheetId="48">'300'!$P$197:$P$198</definedName>
    <definedName name="OSRRefP22_19x_0" localSheetId="49">'300 &amp; 317'!$P$221:$P$222</definedName>
    <definedName name="OSRRefP22_19x_0" localSheetId="50">'301'!$P$90</definedName>
    <definedName name="OSRRefP22_19x_0" localSheetId="64">'310'!$P$101</definedName>
    <definedName name="OSRRefP22_19x_0" localSheetId="72">'310 &amp; 491'!$P$114</definedName>
    <definedName name="OSRRefP22_19x_0" localSheetId="59">'326'!$P$115:$P$116</definedName>
    <definedName name="OSRRefP22_19x_0" localSheetId="57">'331'!$P$155:$P$156</definedName>
    <definedName name="OSRRefP22_19x_0" localSheetId="73">'491'!$P$107</definedName>
    <definedName name="OSRRefP22_19x_0" localSheetId="39">'Div 2'!$P$95:$P$96</definedName>
    <definedName name="OSRRefP22_19x_0" localSheetId="47">'Div 3'!$P$198:$P$202</definedName>
    <definedName name="OSRRefP22_19x_0" localSheetId="71">'Div 4'!$P$99:$P$109</definedName>
    <definedName name="OSRRefP22_19x_0" localSheetId="2">Summary!$P$226:$P$229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'300'!$P$135:$P$144</definedName>
    <definedName name="OSRRefP22_1x_0" localSheetId="49">'300 &amp; 317'!$P$159:$P$168</definedName>
    <definedName name="OSRRefP22_1x_0" localSheetId="50">'301'!$P$32:$P$41</definedName>
    <definedName name="OSRRefP22_1x_0" localSheetId="51">'306'!$P$30:$P$39</definedName>
    <definedName name="OSRRefP22_1x_0" localSheetId="53">'307'!$P$48:$P$57</definedName>
    <definedName name="OSRRefP22_1x_0" localSheetId="54">'308'!$P$70:$P$79</definedName>
    <definedName name="OSRRefP22_1x_0" localSheetId="65">'309'!$P$31:$P$40</definedName>
    <definedName name="OSRRefP22_1x_0" localSheetId="64">'310'!$P$41:$P$50</definedName>
    <definedName name="OSRRefP22_1x_0" localSheetId="72">'310 &amp; 491'!$P$46:$P$55</definedName>
    <definedName name="OSRRefP22_1x_0" localSheetId="55">'311'!$P$69:$P$78</definedName>
    <definedName name="OSRRefP22_1x_0" localSheetId="66">'313'!$P$37:$P$46</definedName>
    <definedName name="OSRRefP22_1x_0" localSheetId="58">'315'!$P$91:$P$100</definedName>
    <definedName name="OSRRefP22_1x_0" localSheetId="61">'316'!$P$42:$P$51</definedName>
    <definedName name="OSRRefP22_1x_0" localSheetId="63">'317'!$P$64:$P$73</definedName>
    <definedName name="OSRRefP22_1x_0" localSheetId="67">'321'!$P$36:$P$45</definedName>
    <definedName name="OSRRefP22_1x_0" localSheetId="68">'322'!$P$32:$P$41</definedName>
    <definedName name="OSRRefP22_1x_0" localSheetId="56">'324'!$P$36:$P$45</definedName>
    <definedName name="OSRRefP22_1x_0" localSheetId="69">'325'!$P$34:$P$43</definedName>
    <definedName name="OSRRefP22_1x_0" localSheetId="59">'326'!$P$58:$P$67</definedName>
    <definedName name="OSRRefP22_1x_0" localSheetId="70">'327'!$P$26</definedName>
    <definedName name="OSRRefP22_1x_0" localSheetId="52">'330'!$P$52:$P$61</definedName>
    <definedName name="OSRRefP22_1x_0" localSheetId="57">'331'!$P$92:$P$101</definedName>
    <definedName name="OSRRefP22_1x_0" localSheetId="60">'332'!$P$44:$P$53</definedName>
    <definedName name="OSRRefP22_1x_0" localSheetId="74">'405'!$P$33:$P$42</definedName>
    <definedName name="OSRRefP22_1x_0" localSheetId="75">'406'!$P$22</definedName>
    <definedName name="OSRRefP22_1x_0" localSheetId="76">'411'!$P$30:$P$39</definedName>
    <definedName name="OSRRefP22_1x_0" localSheetId="77">'412'!$P$31:$P$40</definedName>
    <definedName name="OSRRefP22_1x_0" localSheetId="78">'413'!$P$33:$P$42</definedName>
    <definedName name="OSRRefP22_1x_0" localSheetId="79">'414'!$P$35:$P$44</definedName>
    <definedName name="OSRRefP22_1x_0" localSheetId="80">'415'!$P$37:$P$46</definedName>
    <definedName name="OSRRefP22_1x_0" localSheetId="81">'418'!$P$33:$P$42</definedName>
    <definedName name="OSRRefP22_1x_0" localSheetId="82">'420'!$P$24</definedName>
    <definedName name="OSRRefP22_1x_0" localSheetId="83">'423'!$P$29:$P$38</definedName>
    <definedName name="OSRRefP22_1x_0" localSheetId="84">'424'!$P$22</definedName>
    <definedName name="OSRRefP22_1x_0" localSheetId="85">'425'!$P$27</definedName>
    <definedName name="OSRRefP22_1x_0" localSheetId="88">'430'!$P$30:$P$39</definedName>
    <definedName name="OSRRefP22_1x_0" localSheetId="89">'433'!$P$38:$P$47</definedName>
    <definedName name="OSRRefP22_1x_0" localSheetId="91">'444'!$P$38:$P$47</definedName>
    <definedName name="OSRRefP22_1x_0" localSheetId="92">'450'!$P$34:$P$43</definedName>
    <definedName name="OSRRefP22_1x_0" localSheetId="73">'491'!$P$40:$P$49</definedName>
    <definedName name="OSRRefP22_1x_0" localSheetId="87">'492'!$P$38:$P$47</definedName>
    <definedName name="OSRRefP22_1x_0" localSheetId="94">'501'!$P$32:$P$41</definedName>
    <definedName name="OSRRefP22_1x_0" localSheetId="39">'Div 2'!$P$33:$P$42</definedName>
    <definedName name="OSRRefP22_1x_0" localSheetId="47">'Div 3'!$P$139:$P$148</definedName>
    <definedName name="OSRRefP22_1x_0" localSheetId="71">'Div 4'!$P$43:$P$52</definedName>
    <definedName name="OSRRefP22_1x_0" localSheetId="93">'Div 5'!$P$32:$P$41</definedName>
    <definedName name="OSRRefP22_1x_0" localSheetId="62">'Div 6'!$P$64:$P$73</definedName>
    <definedName name="OSRRefP22_1x_0" localSheetId="2">Summary!$P$169:$P$178</definedName>
    <definedName name="OSRRefP22_20x_0" localSheetId="48">'300'!$P$200:$P$208</definedName>
    <definedName name="OSRRefP22_20x_0" localSheetId="49">'300 &amp; 317'!$P$224:$P$232</definedName>
    <definedName name="OSRRefP22_20x_0" localSheetId="50">'301'!$P$92</definedName>
    <definedName name="OSRRefP22_20x_0" localSheetId="64">'310'!$P$103</definedName>
    <definedName name="OSRRefP22_20x_0" localSheetId="72">'310 &amp; 491'!$P$116:$P$118</definedName>
    <definedName name="OSRRefP22_20x_0" localSheetId="59">'326'!$P$118</definedName>
    <definedName name="OSRRefP22_20x_0" localSheetId="57">'331'!$P$158</definedName>
    <definedName name="OSRRefP22_20x_0" localSheetId="73">'491'!$P$109:$P$111</definedName>
    <definedName name="OSRRefP22_20x_0" localSheetId="47">'Div 3'!$P$204:$P$205</definedName>
    <definedName name="OSRRefP22_20x_0" localSheetId="71">'Div 4'!$P$111:$P$112</definedName>
    <definedName name="OSRRefP22_20x_0" localSheetId="2">Summary!$P$231:$P$235</definedName>
    <definedName name="OSRRefP22_21x_0" localSheetId="48">'300'!$P$210:$P$211</definedName>
    <definedName name="OSRRefP22_21x_0" localSheetId="49">'300 &amp; 317'!$P$234:$P$235</definedName>
    <definedName name="OSRRefP22_21x_0" localSheetId="50">'301'!$P$94:$P$95</definedName>
    <definedName name="OSRRefP22_21x_0" localSheetId="64">'310'!$P$105</definedName>
    <definedName name="OSRRefP22_21x_0" localSheetId="72">'310 &amp; 491'!$P$120</definedName>
    <definedName name="OSRRefP22_21x_0" localSheetId="57">'331'!$P$160:$P$161</definedName>
    <definedName name="OSRRefP22_21x_0" localSheetId="73">'491'!$P$113</definedName>
    <definedName name="OSRRefP22_21x_0" localSheetId="47">'Div 3'!$P$207:$P$215</definedName>
    <definedName name="OSRRefP22_21x_0" localSheetId="71">'Div 4'!$P$114</definedName>
    <definedName name="OSRRefP22_21x_0" localSheetId="2">Summary!$P$237:$P$238</definedName>
    <definedName name="OSRRefP22_22x_0" localSheetId="48">'300'!$P$213</definedName>
    <definedName name="OSRRefP22_22x_0" localSheetId="49">'300 &amp; 317'!$P$237</definedName>
    <definedName name="OSRRefP22_22x_0" localSheetId="50">'301'!$P$97</definedName>
    <definedName name="OSRRefP22_22x_0" localSheetId="57">'331'!$P$163</definedName>
    <definedName name="OSRRefP22_22x_0" localSheetId="47">'Div 3'!$P$217:$P$218</definedName>
    <definedName name="OSRRefP22_22x_0" localSheetId="71">'Div 4'!$P$116:$P$118</definedName>
    <definedName name="OSRRefP22_22x_0" localSheetId="2">Summary!$P$240:$P$250</definedName>
    <definedName name="OSRRefP22_23x_0" localSheetId="48">'300'!$P$215:$P$217</definedName>
    <definedName name="OSRRefP22_23x_0" localSheetId="49">'300 &amp; 317'!$P$239:$P$241</definedName>
    <definedName name="OSRRefP22_23x_0" localSheetId="47">'Div 3'!$P$220</definedName>
    <definedName name="OSRRefP22_23x_0" localSheetId="71">'Div 4'!$P$120</definedName>
    <definedName name="OSRRefP22_23x_0" localSheetId="2">Summary!$P$252:$P$253</definedName>
    <definedName name="OSRRefP22_24x_0" localSheetId="48">'300'!$P$219</definedName>
    <definedName name="OSRRefP22_24x_0" localSheetId="49">'300 &amp; 317'!$P$243</definedName>
    <definedName name="OSRRefP22_24x_0" localSheetId="47">'Div 3'!$P$222:$P$224</definedName>
    <definedName name="OSRRefP22_24x_0" localSheetId="2">Summary!$P$255</definedName>
    <definedName name="OSRRefP22_25x_0" localSheetId="47">'Div 3'!$P$226</definedName>
    <definedName name="OSRRefP22_25x_0" localSheetId="2">Summary!$P$257:$P$259</definedName>
    <definedName name="OSRRefP22_26x_0" localSheetId="2">Summary!$P$261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'300'!$P$146</definedName>
    <definedName name="OSRRefP22_2x_0" localSheetId="49">'300 &amp; 317'!$P$170</definedName>
    <definedName name="OSRRefP22_2x_0" localSheetId="50">'301'!$P$43</definedName>
    <definedName name="OSRRefP22_2x_0" localSheetId="51">'306'!$P$41</definedName>
    <definedName name="OSRRefP22_2x_0" localSheetId="53">'307'!$P$59</definedName>
    <definedName name="OSRRefP22_2x_0" localSheetId="54">'308'!$P$81</definedName>
    <definedName name="OSRRefP22_2x_0" localSheetId="65">'309'!$P$42</definedName>
    <definedName name="OSRRefP22_2x_0" localSheetId="64">'310'!$P$52</definedName>
    <definedName name="OSRRefP22_2x_0" localSheetId="72">'310 &amp; 491'!$P$57</definedName>
    <definedName name="OSRRefP22_2x_0" localSheetId="55">'311'!$P$80</definedName>
    <definedName name="OSRRefP22_2x_0" localSheetId="66">'313'!$P$48</definedName>
    <definedName name="OSRRefP22_2x_0" localSheetId="58">'315'!$P$102</definedName>
    <definedName name="OSRRefP22_2x_0" localSheetId="61">'316'!$P$53</definedName>
    <definedName name="OSRRefP22_2x_0" localSheetId="63">'317'!$P$75</definedName>
    <definedName name="OSRRefP22_2x_0" localSheetId="67">'321'!$P$47</definedName>
    <definedName name="OSRRefP22_2x_0" localSheetId="68">'322'!$P$43</definedName>
    <definedName name="OSRRefP22_2x_0" localSheetId="69">'325'!$P$45</definedName>
    <definedName name="OSRRefP22_2x_0" localSheetId="59">'326'!$P$69</definedName>
    <definedName name="OSRRefP22_2x_0" localSheetId="52">'330'!$P$63</definedName>
    <definedName name="OSRRefP22_2x_0" localSheetId="57">'331'!$P$103</definedName>
    <definedName name="OSRRefP22_2x_0" localSheetId="60">'332'!$P$55</definedName>
    <definedName name="OSRRefP22_2x_0" localSheetId="74">'405'!$P$44</definedName>
    <definedName name="OSRRefP22_2x_0" localSheetId="75">'406'!$P$24</definedName>
    <definedName name="OSRRefP22_2x_0" localSheetId="76">'411'!$P$41</definedName>
    <definedName name="OSRRefP22_2x_0" localSheetId="77">'412'!$P$42</definedName>
    <definedName name="OSRRefP22_2x_0" localSheetId="78">'413'!$P$44</definedName>
    <definedName name="OSRRefP22_2x_0" localSheetId="79">'414'!$P$46</definedName>
    <definedName name="OSRRefP22_2x_0" localSheetId="80">'415'!$P$48</definedName>
    <definedName name="OSRRefP22_2x_0" localSheetId="81">'418'!$P$44</definedName>
    <definedName name="OSRRefP22_2x_0" localSheetId="83">'423'!$P$40</definedName>
    <definedName name="OSRRefP22_2x_0" localSheetId="84">'424'!$P$24</definedName>
    <definedName name="OSRRefP22_2x_0" localSheetId="85">'425'!$P$29</definedName>
    <definedName name="OSRRefP22_2x_0" localSheetId="88">'430'!$P$41</definedName>
    <definedName name="OSRRefP22_2x_0" localSheetId="89">'433'!$P$49</definedName>
    <definedName name="OSRRefP22_2x_0" localSheetId="91">'444'!$P$49</definedName>
    <definedName name="OSRRefP22_2x_0" localSheetId="92">'450'!$P$45</definedName>
    <definedName name="OSRRefP22_2x_0" localSheetId="73">'491'!$P$51</definedName>
    <definedName name="OSRRefP22_2x_0" localSheetId="87">'492'!$P$49</definedName>
    <definedName name="OSRRefP22_2x_0" localSheetId="94">'501'!$P$43</definedName>
    <definedName name="OSRRefP22_2x_0" localSheetId="39">'Div 2'!$P$44</definedName>
    <definedName name="OSRRefP22_2x_0" localSheetId="47">'Div 3'!$P$150</definedName>
    <definedName name="OSRRefP22_2x_0" localSheetId="71">'Div 4'!$P$54</definedName>
    <definedName name="OSRRefP22_2x_0" localSheetId="93">'Div 5'!$P$43</definedName>
    <definedName name="OSRRefP22_2x_0" localSheetId="62">'Div 6'!$P$75</definedName>
    <definedName name="OSRRefP22_2x_0" localSheetId="2">Summary!$P$180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'300'!$P$148:$P$149</definedName>
    <definedName name="OSRRefP22_3x_0" localSheetId="49">'300 &amp; 317'!$P$172:$P$173</definedName>
    <definedName name="OSRRefP22_3x_0" localSheetId="50">'301'!$P$45:$P$46</definedName>
    <definedName name="OSRRefP22_3x_0" localSheetId="51">'306'!$P$43</definedName>
    <definedName name="OSRRefP22_3x_0" localSheetId="53">'307'!$P$61</definedName>
    <definedName name="OSRRefP22_3x_0" localSheetId="54">'308'!$P$83:$P$84</definedName>
    <definedName name="OSRRefP22_3x_0" localSheetId="65">'309'!$P$44</definedName>
    <definedName name="OSRRefP22_3x_0" localSheetId="64">'310'!$P$54</definedName>
    <definedName name="OSRRefP22_3x_0" localSheetId="72">'310 &amp; 491'!$P$59</definedName>
    <definedName name="OSRRefP22_3x_0" localSheetId="55">'311'!$P$82:$P$83</definedName>
    <definedName name="OSRRefP22_3x_0" localSheetId="66">'313'!$P$50</definedName>
    <definedName name="OSRRefP22_3x_0" localSheetId="58">'315'!$P$104</definedName>
    <definedName name="OSRRefP22_3x_0" localSheetId="61">'316'!$P$55</definedName>
    <definedName name="OSRRefP22_3x_0" localSheetId="63">'317'!$P$77</definedName>
    <definedName name="OSRRefP22_3x_0" localSheetId="67">'321'!$P$49</definedName>
    <definedName name="OSRRefP22_3x_0" localSheetId="68">'322'!$P$45</definedName>
    <definedName name="OSRRefP22_3x_0" localSheetId="69">'325'!$P$47</definedName>
    <definedName name="OSRRefP22_3x_0" localSheetId="59">'326'!$P$71</definedName>
    <definedName name="OSRRefP22_3x_0" localSheetId="52">'330'!$P$65</definedName>
    <definedName name="OSRRefP22_3x_0" localSheetId="57">'331'!$P$105</definedName>
    <definedName name="OSRRefP22_3x_0" localSheetId="60">'332'!$P$57</definedName>
    <definedName name="OSRRefP22_3x_0" localSheetId="74">'405'!$P$46</definedName>
    <definedName name="OSRRefP22_3x_0" localSheetId="75">'406'!$P$26</definedName>
    <definedName name="OSRRefP22_3x_0" localSheetId="76">'411'!$P$43</definedName>
    <definedName name="OSRRefP22_3x_0" localSheetId="77">'412'!$P$44</definedName>
    <definedName name="OSRRefP22_3x_0" localSheetId="78">'413'!$P$46</definedName>
    <definedName name="OSRRefP22_3x_0" localSheetId="79">'414'!$P$48</definedName>
    <definedName name="OSRRefP22_3x_0" localSheetId="80">'415'!$P$50</definedName>
    <definedName name="OSRRefP22_3x_0" localSheetId="81">'418'!$P$46</definedName>
    <definedName name="OSRRefP22_3x_0" localSheetId="83">'423'!$P$42:$P$43</definedName>
    <definedName name="OSRRefP22_3x_0" localSheetId="84">'424'!$P$26</definedName>
    <definedName name="OSRRefP22_3x_0" localSheetId="85">'425'!$P$31</definedName>
    <definedName name="OSRRefP22_3x_0" localSheetId="88">'430'!$P$43</definedName>
    <definedName name="OSRRefP22_3x_0" localSheetId="89">'433'!$P$51</definedName>
    <definedName name="OSRRefP22_3x_0" localSheetId="91">'444'!$P$51</definedName>
    <definedName name="OSRRefP22_3x_0" localSheetId="92">'450'!$P$47</definedName>
    <definedName name="OSRRefP22_3x_0" localSheetId="73">'491'!$P$53</definedName>
    <definedName name="OSRRefP22_3x_0" localSheetId="87">'492'!$P$51</definedName>
    <definedName name="OSRRefP22_3x_0" localSheetId="94">'501'!$P$45</definedName>
    <definedName name="OSRRefP22_3x_0" localSheetId="39">'Div 2'!$P$46</definedName>
    <definedName name="OSRRefP22_3x_0" localSheetId="47">'Div 3'!$P$152:$P$153</definedName>
    <definedName name="OSRRefP22_3x_0" localSheetId="71">'Div 4'!$P$56</definedName>
    <definedName name="OSRRefP22_3x_0" localSheetId="93">'Div 5'!$P$45</definedName>
    <definedName name="OSRRefP22_3x_0" localSheetId="62">'Div 6'!$P$77</definedName>
    <definedName name="OSRRefP22_3x_0" localSheetId="2">Summary!$P$182:$P$183</definedName>
    <definedName name="OSRRefP22_4x_0" localSheetId="40">'200'!$P$28:$P$29</definedName>
    <definedName name="OSRRefP22_4x_0" localSheetId="41">'201'!$P$46:$P$47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'205'!$P$45:$P$47</definedName>
    <definedName name="OSRRefP22_4x_0" localSheetId="46">'206'!$P$45</definedName>
    <definedName name="OSRRefP22_4x_0" localSheetId="48">'300'!$P$151</definedName>
    <definedName name="OSRRefP22_4x_0" localSheetId="49">'300 &amp; 317'!$P$175</definedName>
    <definedName name="OSRRefP22_4x_0" localSheetId="50">'301'!$P$48</definedName>
    <definedName name="OSRRefP22_4x_0" localSheetId="51">'306'!$P$45</definedName>
    <definedName name="OSRRefP22_4x_0" localSheetId="53">'307'!$P$63</definedName>
    <definedName name="OSRRefP22_4x_0" localSheetId="54">'308'!$P$86</definedName>
    <definedName name="OSRRefP22_4x_0" localSheetId="65">'309'!$P$46</definedName>
    <definedName name="OSRRefP22_4x_0" localSheetId="64">'310'!$P$56</definedName>
    <definedName name="OSRRefP22_4x_0" localSheetId="72">'310 &amp; 491'!$P$61</definedName>
    <definedName name="OSRRefP22_4x_0" localSheetId="55">'311'!$P$85</definedName>
    <definedName name="OSRRefP22_4x_0" localSheetId="66">'313'!$P$52</definedName>
    <definedName name="OSRRefP22_4x_0" localSheetId="58">'315'!$P$106</definedName>
    <definedName name="OSRRefP22_4x_0" localSheetId="61">'316'!$P$57</definedName>
    <definedName name="OSRRefP22_4x_0" localSheetId="63">'317'!$P$79</definedName>
    <definedName name="OSRRefP22_4x_0" localSheetId="67">'321'!$P$51</definedName>
    <definedName name="OSRRefP22_4x_0" localSheetId="68">'322'!$P$47</definedName>
    <definedName name="OSRRefP22_4x_0" localSheetId="69">'325'!$P$49</definedName>
    <definedName name="OSRRefP22_4x_0" localSheetId="59">'326'!$P$73</definedName>
    <definedName name="OSRRefP22_4x_0" localSheetId="52">'330'!$P$67</definedName>
    <definedName name="OSRRefP22_4x_0" localSheetId="57">'331'!$P$107</definedName>
    <definedName name="OSRRefP22_4x_0" localSheetId="60">'332'!$P$59</definedName>
    <definedName name="OSRRefP22_4x_0" localSheetId="74">'405'!$P$48:$P$49</definedName>
    <definedName name="OSRRefP22_4x_0" localSheetId="75">'406'!$P$28</definedName>
    <definedName name="OSRRefP22_4x_0" localSheetId="76">'411'!$P$45:$P$46</definedName>
    <definedName name="OSRRefP22_4x_0" localSheetId="77">'412'!$P$46:$P$47</definedName>
    <definedName name="OSRRefP22_4x_0" localSheetId="78">'413'!$P$48</definedName>
    <definedName name="OSRRefP22_4x_0" localSheetId="79">'414'!$P$50</definedName>
    <definedName name="OSRRefP22_4x_0" localSheetId="80">'415'!$P$52</definedName>
    <definedName name="OSRRefP22_4x_0" localSheetId="81">'418'!$P$48:$P$49</definedName>
    <definedName name="OSRRefP22_4x_0" localSheetId="83">'423'!$P$45</definedName>
    <definedName name="OSRRefP22_4x_0" localSheetId="85">'425'!$P$33:$P$34</definedName>
    <definedName name="OSRRefP22_4x_0" localSheetId="88">'430'!$P$45:$P$47</definedName>
    <definedName name="OSRRefP22_4x_0" localSheetId="89">'433'!$P$53</definedName>
    <definedName name="OSRRefP22_4x_0" localSheetId="91">'444'!$P$53</definedName>
    <definedName name="OSRRefP22_4x_0" localSheetId="92">'450'!$P$49</definedName>
    <definedName name="OSRRefP22_4x_0" localSheetId="73">'491'!$P$55</definedName>
    <definedName name="OSRRefP22_4x_0" localSheetId="87">'492'!$P$53</definedName>
    <definedName name="OSRRefP22_4x_0" localSheetId="94">'501'!$P$47</definedName>
    <definedName name="OSRRefP22_4x_0" localSheetId="39">'Div 2'!$P$48</definedName>
    <definedName name="OSRRefP22_4x_0" localSheetId="47">'Div 3'!$P$155</definedName>
    <definedName name="OSRRefP22_4x_0" localSheetId="71">'Div 4'!$P$58</definedName>
    <definedName name="OSRRefP22_4x_0" localSheetId="93">'Div 5'!$P$47</definedName>
    <definedName name="OSRRefP22_4x_0" localSheetId="62">'Div 6'!$P$79</definedName>
    <definedName name="OSRRefP22_4x_0" localSheetId="2">Summary!$P$185</definedName>
    <definedName name="OSRRefP22_5x_0" localSheetId="41">'201'!$P$49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'205'!$P$49</definedName>
    <definedName name="OSRRefP22_5x_0" localSheetId="46">'206'!$P$47</definedName>
    <definedName name="OSRRefP22_5x_0" localSheetId="48">'300'!$P$153:$P$154</definedName>
    <definedName name="OSRRefP22_5x_0" localSheetId="49">'300 &amp; 317'!$P$177:$P$178</definedName>
    <definedName name="OSRRefP22_5x_0" localSheetId="50">'301'!$P$50:$P$51</definedName>
    <definedName name="OSRRefP22_5x_0" localSheetId="51">'306'!$P$47</definedName>
    <definedName name="OSRRefP22_5x_0" localSheetId="53">'307'!$P$65:$P$66</definedName>
    <definedName name="OSRRefP22_5x_0" localSheetId="54">'308'!$P$88</definedName>
    <definedName name="OSRRefP22_5x_0" localSheetId="65">'309'!$P$48</definedName>
    <definedName name="OSRRefP22_5x_0" localSheetId="64">'310'!$P$58:$P$59</definedName>
    <definedName name="OSRRefP22_5x_0" localSheetId="72">'310 &amp; 491'!$P$63:$P$65</definedName>
    <definedName name="OSRRefP22_5x_0" localSheetId="55">'311'!$P$87</definedName>
    <definedName name="OSRRefP22_5x_0" localSheetId="66">'313'!$P$54</definedName>
    <definedName name="OSRRefP22_5x_0" localSheetId="58">'315'!$P$108:$P$109</definedName>
    <definedName name="OSRRefP22_5x_0" localSheetId="61">'316'!$P$59</definedName>
    <definedName name="OSRRefP22_5x_0" localSheetId="63">'317'!$P$81</definedName>
    <definedName name="OSRRefP22_5x_0" localSheetId="67">'321'!$P$53</definedName>
    <definedName name="OSRRefP22_5x_0" localSheetId="68">'322'!$P$49</definedName>
    <definedName name="OSRRefP22_5x_0" localSheetId="69">'325'!$P$51:$P$52</definedName>
    <definedName name="OSRRefP22_5x_0" localSheetId="59">'326'!$P$75</definedName>
    <definedName name="OSRRefP22_5x_0" localSheetId="52">'330'!$P$69:$P$70</definedName>
    <definedName name="OSRRefP22_5x_0" localSheetId="57">'331'!$P$109:$P$110</definedName>
    <definedName name="OSRRefP22_5x_0" localSheetId="60">'332'!$P$61</definedName>
    <definedName name="OSRRefP22_5x_0" localSheetId="74">'405'!$P$51</definedName>
    <definedName name="OSRRefP22_5x_0" localSheetId="76">'411'!$P$48</definedName>
    <definedName name="OSRRefP22_5x_0" localSheetId="77">'412'!$P$49</definedName>
    <definedName name="OSRRefP22_5x_0" localSheetId="78">'413'!$P$50</definedName>
    <definedName name="OSRRefP22_5x_0" localSheetId="79">'414'!$P$52</definedName>
    <definedName name="OSRRefP22_5x_0" localSheetId="80">'415'!$P$54:$P$55</definedName>
    <definedName name="OSRRefP22_5x_0" localSheetId="81">'418'!$P$51</definedName>
    <definedName name="OSRRefP22_5x_0" localSheetId="83">'423'!$P$47</definedName>
    <definedName name="OSRRefP22_5x_0" localSheetId="85">'425'!$P$36</definedName>
    <definedName name="OSRRefP22_5x_0" localSheetId="88">'430'!$P$49:$P$50</definedName>
    <definedName name="OSRRefP22_5x_0" localSheetId="89">'433'!$P$55</definedName>
    <definedName name="OSRRefP22_5x_0" localSheetId="91">'444'!$P$55</definedName>
    <definedName name="OSRRefP22_5x_0" localSheetId="92">'450'!$P$51</definedName>
    <definedName name="OSRRefP22_5x_0" localSheetId="73">'491'!$P$57:$P$59</definedName>
    <definedName name="OSRRefP22_5x_0" localSheetId="87">'492'!$P$55</definedName>
    <definedName name="OSRRefP22_5x_0" localSheetId="94">'501'!$P$49:$P$50</definedName>
    <definedName name="OSRRefP22_5x_0" localSheetId="39">'Div 2'!$P$50:$P$51</definedName>
    <definedName name="OSRRefP22_5x_0" localSheetId="47">'Div 3'!$P$157:$P$158</definedName>
    <definedName name="OSRRefP22_5x_0" localSheetId="71">'Div 4'!$P$60:$P$62</definedName>
    <definedName name="OSRRefP22_5x_0" localSheetId="93">'Div 5'!$P$49:$P$50</definedName>
    <definedName name="OSRRefP22_5x_0" localSheetId="62">'Div 6'!$P$81</definedName>
    <definedName name="OSRRefP22_5x_0" localSheetId="2">Summary!$P$187:$P$189</definedName>
    <definedName name="OSRRefP22_6x_0" localSheetId="41">'201'!$P$51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'205'!$P$51:$P$53</definedName>
    <definedName name="OSRRefP22_6x_0" localSheetId="46">'206'!$P$49</definedName>
    <definedName name="OSRRefP22_6x_0" localSheetId="48">'300'!$P$156:$P$157</definedName>
    <definedName name="OSRRefP22_6x_0" localSheetId="49">'300 &amp; 317'!$P$180:$P$181</definedName>
    <definedName name="OSRRefP22_6x_0" localSheetId="50">'301'!$P$53</definedName>
    <definedName name="OSRRefP22_6x_0" localSheetId="51">'306'!$P$49:$P$50</definedName>
    <definedName name="OSRRefP22_6x_0" localSheetId="53">'307'!$P$68</definedName>
    <definedName name="OSRRefP22_6x_0" localSheetId="54">'308'!$P$90:$P$91</definedName>
    <definedName name="OSRRefP22_6x_0" localSheetId="65">'309'!$P$50</definedName>
    <definedName name="OSRRefP22_6x_0" localSheetId="64">'310'!$P$61</definedName>
    <definedName name="OSRRefP22_6x_0" localSheetId="72">'310 &amp; 491'!$P$67</definedName>
    <definedName name="OSRRefP22_6x_0" localSheetId="55">'311'!$P$89:$P$90</definedName>
    <definedName name="OSRRefP22_6x_0" localSheetId="66">'313'!$P$56:$P$57</definedName>
    <definedName name="OSRRefP22_6x_0" localSheetId="58">'315'!$P$111</definedName>
    <definedName name="OSRRefP22_6x_0" localSheetId="61">'316'!$P$61:$P$62</definedName>
    <definedName name="OSRRefP22_6x_0" localSheetId="63">'317'!$P$83:$P$84</definedName>
    <definedName name="OSRRefP22_6x_0" localSheetId="67">'321'!$P$55</definedName>
    <definedName name="OSRRefP22_6x_0" localSheetId="68">'322'!$P$51</definedName>
    <definedName name="OSRRefP22_6x_0" localSheetId="69">'325'!$P$54</definedName>
    <definedName name="OSRRefP22_6x_0" localSheetId="59">'326'!$P$77</definedName>
    <definedName name="OSRRefP22_6x_0" localSheetId="52">'330'!$P$72</definedName>
    <definedName name="OSRRefP22_6x_0" localSheetId="57">'331'!$P$112</definedName>
    <definedName name="OSRRefP22_6x_0" localSheetId="60">'332'!$P$63:$P$64</definedName>
    <definedName name="OSRRefP22_6x_0" localSheetId="74">'405'!$P$53</definedName>
    <definedName name="OSRRefP22_6x_0" localSheetId="76">'411'!$P$50</definedName>
    <definedName name="OSRRefP22_6x_0" localSheetId="77">'412'!$P$51</definedName>
    <definedName name="OSRRefP22_6x_0" localSheetId="78">'413'!$P$52</definedName>
    <definedName name="OSRRefP22_6x_0" localSheetId="79">'414'!$P$54</definedName>
    <definedName name="OSRRefP22_6x_0" localSheetId="80">'415'!$P$57</definedName>
    <definedName name="OSRRefP22_6x_0" localSheetId="81">'418'!$P$53</definedName>
    <definedName name="OSRRefP22_6x_0" localSheetId="83">'423'!$P$49</definedName>
    <definedName name="OSRRefP22_6x_0" localSheetId="88">'430'!$P$52</definedName>
    <definedName name="OSRRefP22_6x_0" localSheetId="89">'433'!$P$57</definedName>
    <definedName name="OSRRefP22_6x_0" localSheetId="91">'444'!$P$57</definedName>
    <definedName name="OSRRefP22_6x_0" localSheetId="92">'450'!$P$53</definedName>
    <definedName name="OSRRefP22_6x_0" localSheetId="73">'491'!$P$61</definedName>
    <definedName name="OSRRefP22_6x_0" localSheetId="87">'492'!$P$57</definedName>
    <definedName name="OSRRefP22_6x_0" localSheetId="94">'501'!$P$52</definedName>
    <definedName name="OSRRefP22_6x_0" localSheetId="39">'Div 2'!$P$53:$P$54</definedName>
    <definedName name="OSRRefP22_6x_0" localSheetId="47">'Div 3'!$P$160:$P$161</definedName>
    <definedName name="OSRRefP22_6x_0" localSheetId="71">'Div 4'!$P$64</definedName>
    <definedName name="OSRRefP22_6x_0" localSheetId="93">'Div 5'!$P$52</definedName>
    <definedName name="OSRRefP22_6x_0" localSheetId="62">'Div 6'!$P$83:$P$84</definedName>
    <definedName name="OSRRefP22_6x_0" localSheetId="2">Summary!$P$191:$P$192</definedName>
    <definedName name="OSRRefP22_7x_0" localSheetId="41">'201'!$P$53</definedName>
    <definedName name="OSRRefP22_7x_0" localSheetId="42">'202'!$P$53:$P$55</definedName>
    <definedName name="OSRRefP22_7x_0" localSheetId="43">'203'!$P$52:$P$53</definedName>
    <definedName name="OSRRefP22_7x_0" localSheetId="44">'204'!$P$53:$P$55</definedName>
    <definedName name="OSRRefP22_7x_0" localSheetId="45">'205'!$P$55</definedName>
    <definedName name="OSRRefP22_7x_0" localSheetId="46">'206'!$P$51</definedName>
    <definedName name="OSRRefP22_7x_0" localSheetId="48">'300'!$P$159:$P$160</definedName>
    <definedName name="OSRRefP22_7x_0" localSheetId="49">'300 &amp; 317'!$P$183:$P$184</definedName>
    <definedName name="OSRRefP22_7x_0" localSheetId="50">'301'!$P$55</definedName>
    <definedName name="OSRRefP22_7x_0" localSheetId="51">'306'!$P$52:$P$53</definedName>
    <definedName name="OSRRefP22_7x_0" localSheetId="53">'307'!$P$70</definedName>
    <definedName name="OSRRefP22_7x_0" localSheetId="54">'308'!$P$93:$P$94</definedName>
    <definedName name="OSRRefP22_7x_0" localSheetId="65">'309'!$P$52:$P$53</definedName>
    <definedName name="OSRRefP22_7x_0" localSheetId="64">'310'!$P$63</definedName>
    <definedName name="OSRRefP22_7x_0" localSheetId="72">'310 &amp; 491'!$P$69</definedName>
    <definedName name="OSRRefP22_7x_0" localSheetId="55">'311'!$P$92:$P$93</definedName>
    <definedName name="OSRRefP22_7x_0" localSheetId="66">'313'!$P$59</definedName>
    <definedName name="OSRRefP22_7x_0" localSheetId="58">'315'!$P$113:$P$114</definedName>
    <definedName name="OSRRefP22_7x_0" localSheetId="61">'316'!$P$64:$P$66</definedName>
    <definedName name="OSRRefP22_7x_0" localSheetId="63">'317'!$P$86</definedName>
    <definedName name="OSRRefP22_7x_0" localSheetId="67">'321'!$P$57:$P$58</definedName>
    <definedName name="OSRRefP22_7x_0" localSheetId="68">'322'!$P$53:$P$54</definedName>
    <definedName name="OSRRefP22_7x_0" localSheetId="69">'325'!$P$56</definedName>
    <definedName name="OSRRefP22_7x_0" localSheetId="59">'326'!$P$79</definedName>
    <definedName name="OSRRefP22_7x_0" localSheetId="52">'330'!$P$74</definedName>
    <definedName name="OSRRefP22_7x_0" localSheetId="57">'331'!$P$114</definedName>
    <definedName name="OSRRefP22_7x_0" localSheetId="60">'332'!$P$66:$P$68</definedName>
    <definedName name="OSRRefP22_7x_0" localSheetId="74">'405'!$P$55</definedName>
    <definedName name="OSRRefP22_7x_0" localSheetId="76">'411'!$P$52</definedName>
    <definedName name="OSRRefP22_7x_0" localSheetId="77">'412'!$P$53</definedName>
    <definedName name="OSRRefP22_7x_0" localSheetId="78">'413'!$P$54</definedName>
    <definedName name="OSRRefP22_7x_0" localSheetId="79">'414'!$P$56</definedName>
    <definedName name="OSRRefP22_7x_0" localSheetId="80">'415'!$P$59</definedName>
    <definedName name="OSRRefP22_7x_0" localSheetId="81">'418'!$P$55</definedName>
    <definedName name="OSRRefP22_7x_0" localSheetId="88">'430'!$P$54</definedName>
    <definedName name="OSRRefP22_7x_0" localSheetId="89">'433'!$P$59</definedName>
    <definedName name="OSRRefP22_7x_0" localSheetId="91">'444'!$P$59</definedName>
    <definedName name="OSRRefP22_7x_0" localSheetId="92">'450'!$P$55</definedName>
    <definedName name="OSRRefP22_7x_0" localSheetId="73">'491'!$P$63</definedName>
    <definedName name="OSRRefP22_7x_0" localSheetId="87">'492'!$P$59</definedName>
    <definedName name="OSRRefP22_7x_0" localSheetId="94">'501'!$P$54</definedName>
    <definedName name="OSRRefP22_7x_0" localSheetId="39">'Div 2'!$P$56</definedName>
    <definedName name="OSRRefP22_7x_0" localSheetId="47">'Div 3'!$P$163:$P$164</definedName>
    <definedName name="OSRRefP22_7x_0" localSheetId="71">'Div 4'!$P$66</definedName>
    <definedName name="OSRRefP22_7x_0" localSheetId="93">'Div 5'!$P$54</definedName>
    <definedName name="OSRRefP22_7x_0" localSheetId="62">'Div 6'!$P$86</definedName>
    <definedName name="OSRRefP22_7x_0" localSheetId="2">Summary!$P$194:$P$195</definedName>
    <definedName name="OSRRefP22_8x_0" localSheetId="41">'201'!$P$55</definedName>
    <definedName name="OSRRefP22_8x_0" localSheetId="42">'202'!$P$57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'300'!$P$162</definedName>
    <definedName name="OSRRefP22_8x_0" localSheetId="49">'300 &amp; 317'!$P$186</definedName>
    <definedName name="OSRRefP22_8x_0" localSheetId="50">'301'!$P$57</definedName>
    <definedName name="OSRRefP22_8x_0" localSheetId="51">'306'!$P$55</definedName>
    <definedName name="OSRRefP22_8x_0" localSheetId="53">'307'!$P$72</definedName>
    <definedName name="OSRRefP22_8x_0" localSheetId="54">'308'!$P$96</definedName>
    <definedName name="OSRRefP22_8x_0" localSheetId="65">'309'!$P$55:$P$56</definedName>
    <definedName name="OSRRefP22_8x_0" localSheetId="64">'310'!$P$65</definedName>
    <definedName name="OSRRefP22_8x_0" localSheetId="72">'310 &amp; 491'!$P$71:$P$72</definedName>
    <definedName name="OSRRefP22_8x_0" localSheetId="55">'311'!$P$95</definedName>
    <definedName name="OSRRefP22_8x_0" localSheetId="66">'313'!$P$61:$P$63</definedName>
    <definedName name="OSRRefP22_8x_0" localSheetId="58">'315'!$P$116</definedName>
    <definedName name="OSRRefP22_8x_0" localSheetId="61">'316'!$P$68</definedName>
    <definedName name="OSRRefP22_8x_0" localSheetId="63">'317'!$P$88</definedName>
    <definedName name="OSRRefP22_8x_0" localSheetId="67">'321'!$P$60:$P$61</definedName>
    <definedName name="OSRRefP22_8x_0" localSheetId="68">'322'!$P$56:$P$57</definedName>
    <definedName name="OSRRefP22_8x_0" localSheetId="69">'325'!$P$58</definedName>
    <definedName name="OSRRefP22_8x_0" localSheetId="59">'326'!$P$81:$P$82</definedName>
    <definedName name="OSRRefP22_8x_0" localSheetId="52">'330'!$P$76</definedName>
    <definedName name="OSRRefP22_8x_0" localSheetId="57">'331'!$P$116:$P$117</definedName>
    <definedName name="OSRRefP22_8x_0" localSheetId="60">'332'!$P$70</definedName>
    <definedName name="OSRRefP22_8x_0" localSheetId="74">'405'!$P$57</definedName>
    <definedName name="OSRRefP22_8x_0" localSheetId="76">'411'!$P$54</definedName>
    <definedName name="OSRRefP22_8x_0" localSheetId="77">'412'!$P$55:$P$56</definedName>
    <definedName name="OSRRefP22_8x_0" localSheetId="78">'413'!$P$56:$P$59</definedName>
    <definedName name="OSRRefP22_8x_0" localSheetId="79">'414'!$P$58:$P$59</definedName>
    <definedName name="OSRRefP22_8x_0" localSheetId="80">'415'!$P$61</definedName>
    <definedName name="OSRRefP22_8x_0" localSheetId="81">'418'!$P$57:$P$59</definedName>
    <definedName name="OSRRefP22_8x_0" localSheetId="89">'433'!$P$61</definedName>
    <definedName name="OSRRefP22_8x_0" localSheetId="91">'444'!$P$61</definedName>
    <definedName name="OSRRefP22_8x_0" localSheetId="92">'450'!$P$57</definedName>
    <definedName name="OSRRefP22_8x_0" localSheetId="73">'491'!$P$65</definedName>
    <definedName name="OSRRefP22_8x_0" localSheetId="87">'492'!$P$61</definedName>
    <definedName name="OSRRefP22_8x_0" localSheetId="94">'501'!$P$56</definedName>
    <definedName name="OSRRefP22_8x_0" localSheetId="39">'Div 2'!$P$58</definedName>
    <definedName name="OSRRefP22_8x_0" localSheetId="47">'Div 3'!$P$166</definedName>
    <definedName name="OSRRefP22_8x_0" localSheetId="71">'Div 4'!$P$68</definedName>
    <definedName name="OSRRefP22_8x_0" localSheetId="93">'Div 5'!$P$56</definedName>
    <definedName name="OSRRefP22_8x_0" localSheetId="62">'Div 6'!$P$88</definedName>
    <definedName name="OSRRefP22_8x_0" localSheetId="2">Summary!$P$197</definedName>
    <definedName name="OSRRefP22_9x_0" localSheetId="41">'201'!$P$57</definedName>
    <definedName name="OSRRefP22_9x_0" localSheetId="42">'202'!$P$59:$P$61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'300'!$P$164</definedName>
    <definedName name="OSRRefP22_9x_0" localSheetId="49">'300 &amp; 317'!$P$188</definedName>
    <definedName name="OSRRefP22_9x_0" localSheetId="50">'301'!$P$59</definedName>
    <definedName name="OSRRefP22_9x_0" localSheetId="51">'306'!$P$57</definedName>
    <definedName name="OSRRefP22_9x_0" localSheetId="53">'307'!$P$74:$P$75</definedName>
    <definedName name="OSRRefP22_9x_0" localSheetId="54">'308'!$P$98:$P$99</definedName>
    <definedName name="OSRRefP22_9x_0" localSheetId="65">'309'!$P$58:$P$60</definedName>
    <definedName name="OSRRefP22_9x_0" localSheetId="64">'310'!$P$67</definedName>
    <definedName name="OSRRefP22_9x_0" localSheetId="72">'310 &amp; 491'!$P$74</definedName>
    <definedName name="OSRRefP22_9x_0" localSheetId="55">'311'!$P$97:$P$98</definedName>
    <definedName name="OSRRefP22_9x_0" localSheetId="66">'313'!$P$65:$P$66</definedName>
    <definedName name="OSRRefP22_9x_0" localSheetId="58">'315'!$P$118:$P$119</definedName>
    <definedName name="OSRRefP22_9x_0" localSheetId="61">'316'!$P$70:$P$74</definedName>
    <definedName name="OSRRefP22_9x_0" localSheetId="63">'317'!$P$90:$P$91</definedName>
    <definedName name="OSRRefP22_9x_0" localSheetId="67">'321'!$P$63:$P$64</definedName>
    <definedName name="OSRRefP22_9x_0" localSheetId="68">'322'!$P$59:$P$62</definedName>
    <definedName name="OSRRefP22_9x_0" localSheetId="69">'325'!$P$60</definedName>
    <definedName name="OSRRefP22_9x_0" localSheetId="59">'326'!$P$84</definedName>
    <definedName name="OSRRefP22_9x_0" localSheetId="52">'330'!$P$78:$P$79</definedName>
    <definedName name="OSRRefP22_9x_0" localSheetId="57">'331'!$P$119:$P$120</definedName>
    <definedName name="OSRRefP22_9x_0" localSheetId="60">'332'!$P$72:$P$76</definedName>
    <definedName name="OSRRefP22_9x_0" localSheetId="74">'405'!$P$59:$P$60</definedName>
    <definedName name="OSRRefP22_9x_0" localSheetId="76">'411'!$P$56:$P$59</definedName>
    <definedName name="OSRRefP22_9x_0" localSheetId="77">'412'!$P$58</definedName>
    <definedName name="OSRRefP22_9x_0" localSheetId="78">'413'!$P$61:$P$62</definedName>
    <definedName name="OSRRefP22_9x_0" localSheetId="79">'414'!$P$61</definedName>
    <definedName name="OSRRefP22_9x_0" localSheetId="80">'415'!$P$63</definedName>
    <definedName name="OSRRefP22_9x_0" localSheetId="81">'418'!$P$61:$P$62</definedName>
    <definedName name="OSRRefP22_9x_0" localSheetId="89">'433'!$P$63</definedName>
    <definedName name="OSRRefP22_9x_0" localSheetId="91">'444'!$P$63</definedName>
    <definedName name="OSRRefP22_9x_0" localSheetId="92">'450'!$P$59</definedName>
    <definedName name="OSRRefP22_9x_0" localSheetId="73">'491'!$P$67</definedName>
    <definedName name="OSRRefP22_9x_0" localSheetId="87">'492'!$P$63</definedName>
    <definedName name="OSRRefP22_9x_0" localSheetId="94">'501'!$P$58:$P$61</definedName>
    <definedName name="OSRRefP22_9x_0" localSheetId="39">'Div 2'!$P$60:$P$61</definedName>
    <definedName name="OSRRefP22_9x_0" localSheetId="47">'Div 3'!$P$168</definedName>
    <definedName name="OSRRefP22_9x_0" localSheetId="71">'Div 4'!$P$70</definedName>
    <definedName name="OSRRefP22_9x_0" localSheetId="93">'Div 5'!$P$58:$P$61</definedName>
    <definedName name="OSRRefP22_9x_0" localSheetId="62">'Div 6'!$P$90:$P$91</definedName>
    <definedName name="OSRRefP22_9x_0" localSheetId="2">Summary!$P$199</definedName>
    <definedName name="OSRRefP22x_0" localSheetId="40">'200'!$P$20,'200'!$P$22,'200'!$P$24,'200'!$P$26,'200'!$P$28:$P$29</definedName>
    <definedName name="OSRRefP22x_0" localSheetId="41">'201'!$P$21:$P$29,'201'!$P$31:$P$40,'201'!$P$42,'201'!$P$44,'201'!$P$46:$P$47,'201'!$P$49,'201'!$P$51,'201'!$P$53,'201'!$P$55,'201'!$P$57,'201'!$P$59:$P$61,'201'!$P$63:$P$64,'201'!$P$66,'201'!$P$68:$P$70,'201'!$P$72,'201'!$P$74,'201'!$P$76</definedName>
    <definedName name="OSRRefP22x_0" localSheetId="42">'202'!$P$21:$P$29,'202'!$P$31:$P$40,'202'!$P$42,'202'!$P$44,'202'!$P$46:$P$47,'202'!$P$49,'202'!$P$51,'202'!$P$53:$P$55,'202'!$P$57,'202'!$P$59:$P$61,'202'!$P$63,'202'!$P$65,'202'!$P$67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'205'!$P$20:$P$28,'205'!$P$30:$P$39,'205'!$P$41,'205'!$P$43,'205'!$P$45:$P$47,'205'!$P$49,'205'!$P$51:$P$53,'205'!$P$55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$124:$P$133,'300'!$P$135:$P$144,'300'!$P$146,'300'!$P$148:$P$149,'300'!$P$151,'300'!$P$153:$P$154,'300'!$P$156:$P$157,'300'!$P$159:$P$160,'300'!$P$162,'300'!$P$164,'300'!$P$166:$P$167,'300'!$P$169:$P$171,'300'!$P$173,'300'!$P$175:$P$176,'300'!$P$178,'300'!$P$180,'300'!$P$182:$P$185,'300'!$P$187:$P$190,'300'!$P$192:$P$195,'300'!$P$197:$P$198,'300'!$P$200:$P$208,'300'!$P$210:$P$211,'300'!$P$213,'300'!$P$215:$P$217,'300'!$P$219</definedName>
    <definedName name="OSRRefP22x_0" localSheetId="49">'300 &amp; 317'!$P$148:$P$157,'300 &amp; 317'!$P$159:$P$168,'300 &amp; 317'!$P$170,'300 &amp; 317'!$P$172:$P$173,'300 &amp; 317'!$P$175,'300 &amp; 317'!$P$177:$P$178,'300 &amp; 317'!$P$180:$P$181,'300 &amp; 317'!$P$183:$P$184,'300 &amp; 317'!$P$186,'300 &amp; 317'!$P$188,'300 &amp; 317'!$P$190:$P$191,'300 &amp; 317'!$P$193:$P$195,'300 &amp; 317'!$P$197,'300 &amp; 317'!$P$199:$P$200,'300 &amp; 317'!$P$202,'300 &amp; 317'!$P$204,'300 &amp; 317'!$P$206:$P$209,'300 &amp; 317'!$P$211:$P$214,'300 &amp; 317'!$P$216:$P$219,'300 &amp; 317'!$P$221:$P$222,'300 &amp; 317'!$P$224:$P$232,'300 &amp; 317'!$P$234:$P$235,'300 &amp; 317'!$P$237,'300 &amp; 317'!$P$239:$P$241,'300 &amp; 317'!$P$243</definedName>
    <definedName name="OSRRefP22x_0" localSheetId="50">'301'!$P$21:$P$30,'301'!$P$32:$P$41,'301'!$P$43,'301'!$P$45:$P$46,'301'!$P$48,'301'!$P$50:$P$51,'301'!$P$53,'301'!$P$55,'301'!$P$57,'301'!$P$59,'301'!$P$61,'301'!$P$63,'301'!$P$65,'301'!$P$67,'301'!$P$69,'301'!$P$71:$P$74,'301'!$P$76:$P$78,'301'!$P$80,'301'!$P$82:$P$88,'301'!$P$90,'301'!$P$92,'301'!$P$94:$P$95,'301'!$P$97</definedName>
    <definedName name="OSRRefP22x_0" localSheetId="51">'306'!$P$20:$P$28,'306'!$P$30:$P$39,'306'!$P$41,'306'!$P$43,'306'!$P$45,'306'!$P$47,'306'!$P$49:$P$50,'306'!$P$52:$P$53,'306'!$P$55,'306'!$P$57,'306'!$P$59</definedName>
    <definedName name="OSRRefP22x_0" localSheetId="53">'307'!$P$39:$P$46,'307'!$P$48:$P$57,'307'!$P$59,'307'!$P$61,'307'!$P$63,'307'!$P$65:$P$66,'307'!$P$68,'307'!$P$70,'307'!$P$72,'307'!$P$74:$P$75,'307'!$P$77:$P$78,'307'!$P$80:$P$83,'307'!$P$85:$P$86,'307'!$P$88</definedName>
    <definedName name="OSRRefP22x_0" localSheetId="54">'308'!$P$59:$P$68,'308'!$P$70:$P$79,'308'!$P$81,'308'!$P$83:$P$84,'308'!$P$86,'308'!$P$88,'308'!$P$90:$P$91,'308'!$P$93:$P$94,'308'!$P$96,'308'!$P$98:$P$99,'308'!$P$101:$P$102,'308'!$P$104:$P$106,'308'!$P$108:$P$109,'308'!$P$111,'308'!$P$113</definedName>
    <definedName name="OSRRefP22x_0" localSheetId="65">'309'!$P$22:$P$29,'309'!$P$31:$P$40,'309'!$P$42,'309'!$P$44,'309'!$P$46,'309'!$P$48,'309'!$P$50,'309'!$P$52:$P$53,'309'!$P$55:$P$56,'309'!$P$58:$P$60,'309'!$P$62</definedName>
    <definedName name="OSRRefP22x_0" localSheetId="64">'310'!$P$31:$P$39,'310'!$P$41:$P$50,'310'!$P$52,'310'!$P$54,'310'!$P$56,'310'!$P$58:$P$59,'310'!$P$61,'310'!$P$63,'310'!$P$65,'310'!$P$67,'310'!$P$69,'310'!$P$71,'310'!$P$73,'310'!$P$75:$P$78,'310'!$P$80:$P$81,'310'!$P$83:$P$86,'310'!$P$88,'310'!$P$90:$P$96,'310'!$P$98:$P$99,'310'!$P$101,'310'!$P$103,'310'!$P$105</definedName>
    <definedName name="OSRRefP22x_0" localSheetId="72">'310 &amp; 491'!$P$36:$P$44,'310 &amp; 491'!$P$46:$P$55,'310 &amp; 491'!$P$57,'310 &amp; 491'!$P$59,'310 &amp; 491'!$P$61,'310 &amp; 491'!$P$63:$P$65,'310 &amp; 491'!$P$67,'310 &amp; 491'!$P$69,'310 &amp; 491'!$P$71:$P$72,'310 &amp; 491'!$P$74,'310 &amp; 491'!$P$76,'310 &amp; 491'!$P$78,'310 &amp; 491'!$P$80,'310 &amp; 491'!$P$82:$P$85,'310 &amp; 491'!$P$87:$P$88,'310 &amp; 491'!$P$90:$P$94,'310 &amp; 491'!$P$96:$P$97,'310 &amp; 491'!$P$99:$P$109,'310 &amp; 491'!$P$111:$P$112,'310 &amp; 491'!$P$114,'310 &amp; 491'!$P$116:$P$118,'310 &amp; 491'!$P$120</definedName>
    <definedName name="OSRRefP22x_0" localSheetId="55">'311'!$P$58:$P$67,'311'!$P$69:$P$78,'311'!$P$80,'311'!$P$82:$P$83,'311'!$P$85,'311'!$P$87,'311'!$P$89:$P$90,'311'!$P$92:$P$93,'311'!$P$95,'311'!$P$97:$P$98,'311'!$P$100:$P$101,'311'!$P$103:$P$105,'311'!$P$107:$P$108,'311'!$P$110,'311'!$P$112</definedName>
    <definedName name="OSRRefP22x_0" localSheetId="66">'313'!$P$27:$P$35,'313'!$P$37:$P$46,'313'!$P$48,'313'!$P$50,'313'!$P$52,'313'!$P$54,'313'!$P$56:$P$57,'313'!$P$59,'313'!$P$61:$P$63,'313'!$P$65:$P$66,'313'!$P$68,'313'!$P$70</definedName>
    <definedName name="OSRRefP22x_0" localSheetId="58">'315'!$P$81:$P$89,'315'!$P$91:$P$100,'315'!$P$102,'315'!$P$104,'315'!$P$106,'315'!$P$108:$P$109,'315'!$P$111,'315'!$P$113:$P$114,'315'!$P$116,'315'!$P$118:$P$119,'315'!$P$121,'315'!$P$123,'315'!$P$125:$P$127,'315'!$P$129:$P$130,'315'!$P$132:$P$138,'315'!$P$140,'315'!$P$142,'315'!$P$144:$P$145</definedName>
    <definedName name="OSRRefP22x_0" localSheetId="61">'316'!$P$32:$P$40,'316'!$P$42:$P$51,'316'!$P$53,'316'!$P$55,'316'!$P$57,'316'!$P$59,'316'!$P$61:$P$62,'316'!$P$64:$P$66,'316'!$P$68,'316'!$P$70:$P$74,'316'!$P$76,'316'!$P$78</definedName>
    <definedName name="OSRRefP22x_0" localSheetId="63">'317'!$P$53:$P$62,'317'!$P$64:$P$73,'317'!$P$75,'317'!$P$77,'317'!$P$79,'317'!$P$81,'317'!$P$83:$P$84,'317'!$P$86,'317'!$P$88,'317'!$P$90:$P$91,'317'!$P$93,'317'!$P$95:$P$98,'317'!$P$100,'317'!$P$102</definedName>
    <definedName name="OSRRefP22x_0" localSheetId="67">'321'!$P$26:$P$34,'321'!$P$36:$P$45,'321'!$P$47,'321'!$P$49,'321'!$P$51,'321'!$P$53,'321'!$P$55,'321'!$P$57:$P$58,'321'!$P$60:$P$61,'321'!$P$63:$P$64,'321'!$P$66:$P$68,'321'!$P$70:$P$71,'321'!$P$73,'321'!$P$75</definedName>
    <definedName name="OSRRefP22x_0" localSheetId="68">'322'!$P$23:$P$30,'322'!$P$32:$P$41,'322'!$P$43,'322'!$P$45,'322'!$P$47,'322'!$P$49,'322'!$P$51,'322'!$P$53:$P$54,'322'!$P$56:$P$57,'322'!$P$59:$P$62,'322'!$P$64,'322'!$P$66</definedName>
    <definedName name="OSRRefP22x_0" localSheetId="56">'324'!$P$27:$P$34,'324'!$P$36:$P$45</definedName>
    <definedName name="OSRRefP22x_0" localSheetId="69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9">'326'!$P$48:$P$56,'326'!$P$58:$P$67,'326'!$P$69,'326'!$P$71,'326'!$P$73,'326'!$P$75,'326'!$P$77,'326'!$P$79,'326'!$P$81:$P$82,'326'!$P$84,'326'!$P$86,'326'!$P$88,'326'!$P$90,'326'!$P$92:$P$94,'326'!$P$96:$P$98,'326'!$P$100:$P$101,'326'!$P$103:$P$108,'326'!$P$110:$P$111,'326'!$P$113,'326'!$P$115:$P$116,'326'!$P$118</definedName>
    <definedName name="OSRRefP22x_0" localSheetId="70">'327'!$P$24,'327'!$P$26</definedName>
    <definedName name="OSRRefP22x_0" localSheetId="52">'330'!$P$42:$P$50,'330'!$P$52:$P$61,'330'!$P$63,'330'!$P$65,'330'!$P$67,'330'!$P$69:$P$70,'330'!$P$72,'330'!$P$74,'330'!$P$76,'330'!$P$78:$P$79,'330'!$P$81:$P$82,'330'!$P$84:$P$87,'330'!$P$89:$P$90,'330'!$P$92</definedName>
    <definedName name="OSRRefP22x_0" localSheetId="57">'331'!$P$82:$P$90,'331'!$P$92:$P$101,'331'!$P$103,'331'!$P$105,'331'!$P$107,'331'!$P$109:$P$110,'331'!$P$112,'331'!$P$114,'331'!$P$116:$P$117,'331'!$P$119:$P$120,'331'!$P$122,'331'!$P$124:$P$125,'331'!$P$127,'331'!$P$129,'331'!$P$131:$P$133,'331'!$P$135:$P$137,'331'!$P$139:$P$141,'331'!$P$143:$P$144,'331'!$P$146:$P$153,'331'!$P$155:$P$156,'331'!$P$158,'331'!$P$160:$P$161,'331'!$P$163</definedName>
    <definedName name="OSRRefP22x_0" localSheetId="60">'332'!$P$34:$P$42,'332'!$P$44:$P$53,'332'!$P$55,'332'!$P$57,'332'!$P$59,'332'!$P$61,'332'!$P$63:$P$64,'332'!$P$66:$P$68,'332'!$P$70,'332'!$P$72:$P$76,'332'!$P$78,'332'!$P$80</definedName>
    <definedName name="OSRRefP22x_0" localSheetId="74">'405'!$P$24:$P$31,'405'!$P$33:$P$42,'405'!$P$44,'405'!$P$46,'405'!$P$48:$P$49,'405'!$P$51,'405'!$P$53,'405'!$P$55,'405'!$P$57,'405'!$P$59:$P$60,'405'!$P$62,'405'!$P$64:$P$67,'405'!$P$69,'405'!$P$71:$P$79,'405'!$P$81,'405'!$P$83,'405'!$P$85,'405'!$P$87</definedName>
    <definedName name="OSRRefP22x_0" localSheetId="75">'406'!$P$20,'406'!$P$22,'406'!$P$24,'406'!$P$26,'406'!$P$28</definedName>
    <definedName name="OSRRefP22x_0" localSheetId="76">'411'!$P$20:$P$28,'411'!$P$30:$P$39,'411'!$P$41,'411'!$P$43,'411'!$P$45:$P$46,'411'!$P$48,'411'!$P$50,'411'!$P$52,'411'!$P$54,'411'!$P$56:$P$59,'411'!$P$61:$P$64,'411'!$P$66:$P$67,'411'!$P$69:$P$75,'411'!$P$77,'411'!$P$79,'411'!$P$81</definedName>
    <definedName name="OSRRefP22x_0" localSheetId="77">'412'!$P$22:$P$29,'412'!$P$31:$P$40,'412'!$P$42,'412'!$P$44,'412'!$P$46:$P$47,'412'!$P$49,'412'!$P$51,'412'!$P$53,'412'!$P$55:$P$56,'412'!$P$58,'412'!$P$60:$P$63,'412'!$P$65:$P$69,'412'!$P$71:$P$72,'412'!$P$74</definedName>
    <definedName name="OSRRefP22x_0" localSheetId="78">'413'!$P$23:$P$31,'413'!$P$33:$P$42,'413'!$P$44,'413'!$P$46,'413'!$P$48,'413'!$P$50,'413'!$P$52,'413'!$P$54,'413'!$P$56:$P$59,'413'!$P$61:$P$62,'413'!$P$64:$P$71,'413'!$P$73:$P$74,'413'!$P$76</definedName>
    <definedName name="OSRRefP22x_0" localSheetId="79">'414'!$P$25:$P$33,'414'!$P$35:$P$44,'414'!$P$46,'414'!$P$48,'414'!$P$50,'414'!$P$52,'414'!$P$54,'414'!$P$56,'414'!$P$58:$P$59,'414'!$P$61,'414'!$P$63,'414'!$P$65,'414'!$P$67:$P$69,'414'!$P$71,'414'!$P$73,'414'!$P$75</definedName>
    <definedName name="OSRRefP22x_0" localSheetId="80">'415'!$P$27:$P$35,'415'!$P$37:$P$46,'415'!$P$48,'415'!$P$50,'415'!$P$52,'415'!$P$54:$P$55,'415'!$P$57,'415'!$P$59,'415'!$P$61,'415'!$P$63,'415'!$P$65,'415'!$P$67:$P$68,'415'!$P$70:$P$74,'415'!$P$76,'415'!$P$78:$P$85,'415'!$P$87:$P$88,'415'!$P$90,'415'!$P$92:$P$93,'415'!$P$95</definedName>
    <definedName name="OSRRefP22x_0" localSheetId="81">'418'!$P$24:$P$31,'418'!$P$33:$P$42,'418'!$P$44,'418'!$P$46,'418'!$P$48:$P$49,'418'!$P$51,'418'!$P$53,'418'!$P$55,'418'!$P$57:$P$59,'418'!$P$61:$P$62,'418'!$P$64:$P$65,'418'!$P$67:$P$76,'418'!$P$78:$P$79,'418'!$P$81</definedName>
    <definedName name="OSRRefP22x_0" localSheetId="82">'420'!$P$22,'420'!$P$24</definedName>
    <definedName name="OSRRefP22x_0" localSheetId="83">'423'!$P$20:$P$27,'423'!$P$29:$P$38,'423'!$P$40,'423'!$P$42:$P$43,'423'!$P$45,'423'!$P$47,'423'!$P$49</definedName>
    <definedName name="OSRRefP22x_0" localSheetId="84">'424'!$P$20,'424'!$P$22,'424'!$P$24,'424'!$P$26</definedName>
    <definedName name="OSRRefP22x_0" localSheetId="85">'425'!$P$21:$P$25,'425'!$P$27,'425'!$P$29,'425'!$P$31,'425'!$P$33:$P$34,'425'!$P$36</definedName>
    <definedName name="OSRRefP22x_0" localSheetId="88">'430'!$P$20:$P$28,'430'!$P$30:$P$39,'430'!$P$41,'430'!$P$43,'430'!$P$45:$P$47,'430'!$P$49:$P$50,'430'!$P$52,'430'!$P$54</definedName>
    <definedName name="OSRRefP22x_0" localSheetId="89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90">'435'!$P$20</definedName>
    <definedName name="OSRRefP22x_0" localSheetId="91">'444'!$P$27:$P$36,'444'!$P$38:$P$47,'444'!$P$49,'444'!$P$51,'444'!$P$53,'444'!$P$55,'444'!$P$57,'444'!$P$59,'444'!$P$61,'444'!$P$63,'444'!$P$65,'444'!$P$67:$P$70,'444'!$P$72:$P$75,'444'!$P$77,'444'!$P$79:$P$87,'444'!$P$89:$P$90,'444'!$P$92,'444'!$P$94</definedName>
    <definedName name="OSRRefP22x_0" localSheetId="92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3">'491'!$P$30:$P$38,'491'!$P$40:$P$49,'491'!$P$51,'491'!$P$53,'491'!$P$55,'491'!$P$57:$P$59,'491'!$P$61,'491'!$P$63,'491'!$P$65,'491'!$P$67,'491'!$P$69,'491'!$P$71,'491'!$P$73,'491'!$P$75:$P$78,'491'!$P$80:$P$81,'491'!$P$83:$P$87,'491'!$P$89:$P$90,'491'!$P$92:$P$102,'491'!$P$104:$P$105,'491'!$P$107,'491'!$P$109:$P$111,'491'!$P$113</definedName>
    <definedName name="OSRRefP22x_0" localSheetId="87">'492'!$P$27:$P$36,'492'!$P$38:$P$47,'492'!$P$49,'492'!$P$51,'492'!$P$53,'492'!$P$55,'492'!$P$57,'492'!$P$59,'492'!$P$61,'492'!$P$63,'492'!$P$65,'492'!$P$67,'492'!$P$69:$P$72,'492'!$P$74:$P$77,'492'!$P$79,'492'!$P$81:$P$90,'492'!$P$92:$P$93,'492'!$P$95,'492'!$P$97:$P$98</definedName>
    <definedName name="OSRRefP22x_0" localSheetId="94">'501'!$P$21:$P$30,'501'!$P$32:$P$41,'501'!$P$43,'501'!$P$45,'501'!$P$47,'501'!$P$49:$P$50,'501'!$P$52,'501'!$P$54,'501'!$P$56,'501'!$P$58:$P$61,'501'!$P$63,'501'!$P$65:$P$66,'501'!$P$68,'501'!$P$70</definedName>
    <definedName name="OSRRefP22x_0" localSheetId="39">'Div 2'!$P$21:$P$31,'Div 2'!$P$33:$P$42,'Div 2'!$P$44,'Div 2'!$P$46,'Div 2'!$P$48,'Div 2'!$P$50:$P$51,'Div 2'!$P$53:$P$54,'Div 2'!$P$56,'Div 2'!$P$58,'Div 2'!$P$60:$P$61,'Div 2'!$P$63,'Div 2'!$P$65:$P$66,'Div 2'!$P$68:$P$71,'Div 2'!$P$73:$P$76,'Div 2'!$P$78:$P$79,'Div 2'!$P$81:$P$82,'Div 2'!$P$84:$P$88,'Div 2'!$P$90:$P$91,'Div 2'!$P$93,'Div 2'!$P$95:$P$96</definedName>
    <definedName name="OSRRefP22x_0" localSheetId="47">'Div 3'!$P$128:$P$137,'Div 3'!$P$139:$P$148,'Div 3'!$P$150,'Div 3'!$P$152:$P$153,'Div 3'!$P$155,'Div 3'!$P$157:$P$158,'Div 3'!$P$160:$P$161,'Div 3'!$P$163:$P$164,'Div 3'!$P$166,'Div 3'!$P$168,'Div 3'!$P$170:$P$171,'Div 3'!$P$173:$P$175,'Div 3'!$P$177,'Div 3'!$P$179,'Div 3'!$P$181:$P$182,'Div 3'!$P$184,'Div 3'!$P$186,'Div 3'!$P$188:$P$191,'Div 3'!$P$193:$P$196,'Div 3'!$P$198:$P$202,'Div 3'!$P$204:$P$205,'Div 3'!$P$207:$P$215,'Div 3'!$P$217:$P$218,'Div 3'!$P$220,'Div 3'!$P$222:$P$224,'Div 3'!$P$226</definedName>
    <definedName name="OSRRefP22x_0" localSheetId="71">'Div 4'!$P$32:$P$41,'Div 4'!$P$43:$P$52,'Div 4'!$P$54,'Div 4'!$P$56,'Div 4'!$P$58,'Div 4'!$P$60:$P$62,'Div 4'!$P$64,'Div 4'!$P$66,'Div 4'!$P$68,'Div 4'!$P$70,'Div 4'!$P$72,'Div 4'!$P$74,'Div 4'!$P$76,'Div 4'!$P$78,'Div 4'!$P$80,'Div 4'!$P$82:$P$85,'Div 4'!$P$87:$P$88,'Div 4'!$P$90:$P$94,'Div 4'!$P$96:$P$97,'Div 4'!$P$99:$P$109,'Div 4'!$P$111:$P$112,'Div 4'!$P$114,'Div 4'!$P$116:$P$118,'Div 4'!$P$120</definedName>
    <definedName name="OSRRefP22x_0" localSheetId="93">'Div 5'!$P$21:$P$30,'Div 5'!$P$32:$P$41,'Div 5'!$P$43,'Div 5'!$P$45,'Div 5'!$P$47,'Div 5'!$P$49:$P$50,'Div 5'!$P$52,'Div 5'!$P$54,'Div 5'!$P$56,'Div 5'!$P$58:$P$61,'Div 5'!$P$63,'Div 5'!$P$65:$P$66,'Div 5'!$P$68,'Div 5'!$P$70</definedName>
    <definedName name="OSRRefP22x_0" localSheetId="62">'Div 6'!$P$53:$P$62,'Div 6'!$P$64:$P$73,'Div 6'!$P$75,'Div 6'!$P$77,'Div 6'!$P$79,'Div 6'!$P$81,'Div 6'!$P$83:$P$84,'Div 6'!$P$86,'Div 6'!$P$88,'Div 6'!$P$90:$P$91,'Div 6'!$P$93,'Div 6'!$P$95:$P$98,'Div 6'!$P$100,'Div 6'!$P$102</definedName>
    <definedName name="OSRRefP22x_0" localSheetId="2">Summary!$P$158:$P$167,Summary!$P$169:$P$178,Summary!$P$180,Summary!$P$182:$P$183,Summary!$P$185,Summary!$P$187:$P$189,Summary!$P$191:$P$192,Summary!$P$194:$P$195,Summary!$P$197,Summary!$P$199,Summary!$P$201:$P$202,Summary!$P$204:$P$206,Summary!$P$208,Summary!$P$210,Summary!$P$212:$P$213,Summary!$P$215,Summary!$P$217,Summary!$P$219,Summary!$P$221:$P$224,Summary!$P$226:$P$229,Summary!$P$231:$P$235,Summary!$P$237:$P$238,Summary!$P$240:$P$250,Summary!$P$252:$P$253,Summary!$P$255,Summary!$P$257:$P$259,Summary!$P$261</definedName>
    <definedName name="OSRRefP25x_0" localSheetId="42">'202'!$P$70:$P$72</definedName>
    <definedName name="OSRRefP25x_0" localSheetId="48">'300'!$P$222:$P$226</definedName>
    <definedName name="OSRRefP25x_0" localSheetId="49">'300 &amp; 317'!$P$246:$P$251</definedName>
    <definedName name="OSRRefP25x_0" localSheetId="50">'301'!$P$100:$P$101</definedName>
    <definedName name="OSRRefP25x_0" localSheetId="54">'308'!$P$116:$P$118</definedName>
    <definedName name="OSRRefP25x_0" localSheetId="72">'310 &amp; 491'!$P$123:$P$126</definedName>
    <definedName name="OSRRefP25x_0" localSheetId="55">'311'!$P$115:$P$117</definedName>
    <definedName name="OSRRefP25x_0" localSheetId="58">'315'!$P$148:$P$151</definedName>
    <definedName name="OSRRefP25x_0" localSheetId="61">'316'!$P$81</definedName>
    <definedName name="OSRRefP25x_0" localSheetId="63">'317'!$P$105:$P$106</definedName>
    <definedName name="OSRRefP25x_0" localSheetId="57">'331'!$P$166:$P$169</definedName>
    <definedName name="OSRRefP25x_0" localSheetId="60">'332'!$P$83:$P$84</definedName>
    <definedName name="OSRRefP25x_0" localSheetId="76">'411'!$P$84:$P$85</definedName>
    <definedName name="OSRRefP25x_0" localSheetId="81">'418'!$P$84</definedName>
    <definedName name="OSRRefP25x_0" localSheetId="83">'423'!$P$52:$P$54</definedName>
    <definedName name="OSRRefP25x_0" localSheetId="86">'455'!$P$21:$P$22</definedName>
    <definedName name="OSRRefP25x_0" localSheetId="73">'491'!$P$116:$P$119</definedName>
    <definedName name="OSRRefP25x_0" localSheetId="94">'501'!$P$73</definedName>
    <definedName name="OSRRefP25x_0" localSheetId="39">'Div 2'!$P$99:$P$101</definedName>
    <definedName name="OSRRefP25x_0" localSheetId="47">'Div 3'!$P$229:$P$233</definedName>
    <definedName name="OSRRefP25x_0" localSheetId="71">'Div 4'!$P$123:$P$126</definedName>
    <definedName name="OSRRefP25x_0" localSheetId="93">'Div 5'!$P$73</definedName>
    <definedName name="OSRRefP25x_0" localSheetId="62">'Div 6'!$P$105:$P$106</definedName>
    <definedName name="OSRRefP25x_0" localSheetId="2">Summary!$P$264:$P$271</definedName>
    <definedName name="OSRRefT13x_0" localSheetId="41">'201'!$T$13</definedName>
    <definedName name="OSRRefT13x_0" localSheetId="42">'202'!$T$13</definedName>
    <definedName name="OSRRefT13x_0" localSheetId="48">'300'!$T$13:$T$77</definedName>
    <definedName name="OSRRefT13x_0" localSheetId="49">'300 &amp; 317'!$T$13:$T$92</definedName>
    <definedName name="OSRRefT13x_0" localSheetId="53">'307'!$T$13:$T$23</definedName>
    <definedName name="OSRRefT13x_0" localSheetId="54">'308'!$T$13:$T$35</definedName>
    <definedName name="OSRRefT13x_0" localSheetId="65">'309'!$T$13</definedName>
    <definedName name="OSRRefT13x_0" localSheetId="64">'310'!$T$13:$T$20</definedName>
    <definedName name="OSRRefT13x_0" localSheetId="72">'310 &amp; 491'!$T$13:$T$25</definedName>
    <definedName name="OSRRefT13x_0" localSheetId="55">'311'!$T$13:$T$34</definedName>
    <definedName name="OSRRefT13x_0" localSheetId="66">'313'!$T$13:$T$17</definedName>
    <definedName name="OSRRefT13x_0" localSheetId="58">'315'!$T$13:$T$50</definedName>
    <definedName name="OSRRefT13x_0" localSheetId="61">'316'!$T$13:$T$24</definedName>
    <definedName name="OSRRefT13x_0" localSheetId="63">'317'!$T$13:$T$31</definedName>
    <definedName name="OSRRefT13x_0" localSheetId="67">'321'!$T$13:$T$15</definedName>
    <definedName name="OSRRefT13x_0" localSheetId="68">'322'!$T$13</definedName>
    <definedName name="OSRRefT13x_0" localSheetId="56">'324'!$T$13:$T$16</definedName>
    <definedName name="OSRRefT13x_0" localSheetId="69">'325'!$T$13:$T$14</definedName>
    <definedName name="OSRRefT13x_0" localSheetId="59">'326'!$T$13:$T$33</definedName>
    <definedName name="OSRRefT13x_0" localSheetId="70">'327'!$T$13:$T$14</definedName>
    <definedName name="OSRRefT13x_0" localSheetId="52">'330'!$T$13:$T$26</definedName>
    <definedName name="OSRRefT13x_0" localSheetId="57">'331'!$T$13:$T$50</definedName>
    <definedName name="OSRRefT13x_0" localSheetId="60">'332'!$T$13:$T$24</definedName>
    <definedName name="OSRRefT13x_0" localSheetId="74">'405'!$T$13:$T$14</definedName>
    <definedName name="OSRRefT13x_0" localSheetId="77">'412'!$T$13</definedName>
    <definedName name="OSRRefT13x_0" localSheetId="78">'413'!$T$13:$T$14</definedName>
    <definedName name="OSRRefT13x_0" localSheetId="79">'414'!$T$13:$T$15</definedName>
    <definedName name="OSRRefT13x_0" localSheetId="80">'415'!$T$13:$T$16</definedName>
    <definedName name="OSRRefT13x_0" localSheetId="81">'418'!$T$13:$T$14</definedName>
    <definedName name="OSRRefT13x_0" localSheetId="82">'420'!$T$13:$T$14</definedName>
    <definedName name="OSRRefT13x_0" localSheetId="89">'433'!$T$13:$T$16</definedName>
    <definedName name="OSRRefT13x_0" localSheetId="91">'444'!$T$13:$T$16</definedName>
    <definedName name="OSRRefT13x_0" localSheetId="92">'450'!$T$13:$T$14</definedName>
    <definedName name="OSRRefT13x_0" localSheetId="73">'491'!$T$13:$T$19</definedName>
    <definedName name="OSRRefT13x_0" localSheetId="87">'492'!$T$13:$T$16</definedName>
    <definedName name="OSRRefT13x_0" localSheetId="94">'501'!$T$13</definedName>
    <definedName name="OSRRefT13x_0" localSheetId="39">'Div 2'!$T$13</definedName>
    <definedName name="OSRRefT13x_0" localSheetId="47">'Div 3'!$T$13:$T$79</definedName>
    <definedName name="OSRRefT13x_0" localSheetId="71">'Div 4'!$T$13:$T$21</definedName>
    <definedName name="OSRRefT13x_0" localSheetId="93">'Div 5'!$T$13</definedName>
    <definedName name="OSRRefT13x_0" localSheetId="62">'Div 6'!$T$13:$T$31</definedName>
    <definedName name="OSRRefT13x_0" localSheetId="2">Summary!$T$13:$T$100</definedName>
    <definedName name="OSRRefT16x_0" localSheetId="48">'300'!$T$80:$T$118</definedName>
    <definedName name="OSRRefT16x_0" localSheetId="49">'300 &amp; 317'!$T$95:$T$142</definedName>
    <definedName name="OSRRefT16x_0" localSheetId="50">'301'!$T$15</definedName>
    <definedName name="OSRRefT16x_0" localSheetId="53">'307'!$T$26:$T$33</definedName>
    <definedName name="OSRRefT16x_0" localSheetId="54">'308'!$T$38:$T$53</definedName>
    <definedName name="OSRRefT16x_0" localSheetId="65">'309'!$T$16</definedName>
    <definedName name="OSRRefT16x_0" localSheetId="64">'310'!$T$23:$T$25</definedName>
    <definedName name="OSRRefT16x_0" localSheetId="72">'310 &amp; 491'!$T$28:$T$30</definedName>
    <definedName name="OSRRefT16x_0" localSheetId="55">'311'!$T$37:$T$52</definedName>
    <definedName name="OSRRefT16x_0" localSheetId="66">'313'!$T$20:$T$21</definedName>
    <definedName name="OSRRefT16x_0" localSheetId="58">'315'!$T$53:$T$75</definedName>
    <definedName name="OSRRefT16x_0" localSheetId="63">'317'!$T$34:$T$47</definedName>
    <definedName name="OSRRefT16x_0" localSheetId="67">'321'!$T$18:$T$20</definedName>
    <definedName name="OSRRefT16x_0" localSheetId="68">'322'!$T$16:$T$17</definedName>
    <definedName name="OSRRefT16x_0" localSheetId="56">'324'!$T$19:$T$21</definedName>
    <definedName name="OSRRefT16x_0" localSheetId="69">'325'!$T$17:$T$19</definedName>
    <definedName name="OSRRefT16x_0" localSheetId="59">'326'!$T$36:$T$42</definedName>
    <definedName name="OSRRefT16x_0" localSheetId="70">'327'!$T$17:$T$18</definedName>
    <definedName name="OSRRefT16x_0" localSheetId="52">'330'!$T$29:$T$36</definedName>
    <definedName name="OSRRefT16x_0" localSheetId="57">'331'!$T$53:$T$76</definedName>
    <definedName name="OSRRefT16x_0" localSheetId="60">'332'!$T$27:$T$28</definedName>
    <definedName name="OSRRefT16x_0" localSheetId="74">'405'!$T$17:$T$18</definedName>
    <definedName name="OSRRefT16x_0" localSheetId="77">'412'!$T$16</definedName>
    <definedName name="OSRRefT16x_0" localSheetId="78">'413'!$T$17</definedName>
    <definedName name="OSRRefT16x_0" localSheetId="79">'414'!$T$18:$T$19</definedName>
    <definedName name="OSRRefT16x_0" localSheetId="80">'415'!$T$19:$T$21</definedName>
    <definedName name="OSRRefT16x_0" localSheetId="81">'418'!$T$17:$T$18</definedName>
    <definedName name="OSRRefT16x_0" localSheetId="85">'425'!$T$15</definedName>
    <definedName name="OSRRefT16x_0" localSheetId="89">'433'!$T$19:$T$21</definedName>
    <definedName name="OSRRefT16x_0" localSheetId="91">'444'!$T$19:$T$21</definedName>
    <definedName name="OSRRefT16x_0" localSheetId="92">'450'!$T$17</definedName>
    <definedName name="OSRRefT16x_0" localSheetId="73">'491'!$T$22:$T$24</definedName>
    <definedName name="OSRRefT16x_0" localSheetId="87">'492'!$T$19:$T$21</definedName>
    <definedName name="OSRRefT16x_0" localSheetId="47">'Div 3'!$T$82:$T$122</definedName>
    <definedName name="OSRRefT16x_0" localSheetId="71">'Div 4'!$T$24:$T$26</definedName>
    <definedName name="OSRRefT16x_0" localSheetId="62">'Div 6'!$T$34:$T$47</definedName>
    <definedName name="OSRRefT16x_0" localSheetId="2">Summary!$T$103:$T$152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'300'!$T$124:$T$133</definedName>
    <definedName name="OSRRefT22_0x_0" localSheetId="49">'300 &amp; 317'!$T$148:$T$157</definedName>
    <definedName name="OSRRefT22_0x_0" localSheetId="50">'301'!$T$21:$T$30</definedName>
    <definedName name="OSRRefT22_0x_0" localSheetId="51">'306'!$T$20:$T$28</definedName>
    <definedName name="OSRRefT22_0x_0" localSheetId="53">'307'!$T$39:$T$46</definedName>
    <definedName name="OSRRefT22_0x_0" localSheetId="54">'308'!$T$59:$T$68</definedName>
    <definedName name="OSRRefT22_0x_0" localSheetId="65">'309'!$T$22:$T$29</definedName>
    <definedName name="OSRRefT22_0x_0" localSheetId="64">'310'!$T$31:$T$39</definedName>
    <definedName name="OSRRefT22_0x_0" localSheetId="72">'310 &amp; 491'!$T$36:$T$44</definedName>
    <definedName name="OSRRefT22_0x_0" localSheetId="55">'311'!$T$58:$T$67</definedName>
    <definedName name="OSRRefT22_0x_0" localSheetId="66">'313'!$T$27:$T$35</definedName>
    <definedName name="OSRRefT22_0x_0" localSheetId="58">'315'!$T$81:$T$89</definedName>
    <definedName name="OSRRefT22_0x_0" localSheetId="61">'316'!$T$32:$T$40</definedName>
    <definedName name="OSRRefT22_0x_0" localSheetId="63">'317'!$T$53:$T$62</definedName>
    <definedName name="OSRRefT22_0x_0" localSheetId="67">'321'!$T$26:$T$34</definedName>
    <definedName name="OSRRefT22_0x_0" localSheetId="68">'322'!$T$23:$T$30</definedName>
    <definedName name="OSRRefT22_0x_0" localSheetId="56">'324'!$T$27:$T$34</definedName>
    <definedName name="OSRRefT22_0x_0" localSheetId="69">'325'!$T$25:$T$32</definedName>
    <definedName name="OSRRefT22_0x_0" localSheetId="59">'326'!$T$48:$T$56</definedName>
    <definedName name="OSRRefT22_0x_0" localSheetId="70">'327'!$T$24</definedName>
    <definedName name="OSRRefT22_0x_0" localSheetId="52">'330'!$T$42:$T$50</definedName>
    <definedName name="OSRRefT22_0x_0" localSheetId="57">'331'!$T$82:$T$90</definedName>
    <definedName name="OSRRefT22_0x_0" localSheetId="60">'332'!$T$34:$T$42</definedName>
    <definedName name="OSRRefT22_0x_0" localSheetId="74">'405'!$T$24:$T$31</definedName>
    <definedName name="OSRRefT22_0x_0" localSheetId="75">'406'!$T$20</definedName>
    <definedName name="OSRRefT22_0x_0" localSheetId="76">'411'!$T$20:$T$28</definedName>
    <definedName name="OSRRefT22_0x_0" localSheetId="77">'412'!$T$22:$T$29</definedName>
    <definedName name="OSRRefT22_0x_0" localSheetId="78">'413'!$T$23:$T$31</definedName>
    <definedName name="OSRRefT22_0x_0" localSheetId="79">'414'!$T$25:$T$33</definedName>
    <definedName name="OSRRefT22_0x_0" localSheetId="80">'415'!$T$27:$T$35</definedName>
    <definedName name="OSRRefT22_0x_0" localSheetId="81">'418'!$T$24:$T$31</definedName>
    <definedName name="OSRRefT22_0x_0" localSheetId="82">'420'!$T$22</definedName>
    <definedName name="OSRRefT22_0x_0" localSheetId="83">'423'!$T$20:$T$27</definedName>
    <definedName name="OSRRefT22_0x_0" localSheetId="84">'424'!$T$20</definedName>
    <definedName name="OSRRefT22_0x_0" localSheetId="85">'425'!$T$21:$T$25</definedName>
    <definedName name="OSRRefT22_0x_0" localSheetId="88">'430'!$T$20:$T$28</definedName>
    <definedName name="OSRRefT22_0x_0" localSheetId="89">'433'!$T$27:$T$36</definedName>
    <definedName name="OSRRefT22_0x_0" localSheetId="90">'435'!$T$20</definedName>
    <definedName name="OSRRefT22_0x_0" localSheetId="91">'444'!$T$27:$T$36</definedName>
    <definedName name="OSRRefT22_0x_0" localSheetId="92">'450'!$T$23:$T$32</definedName>
    <definedName name="OSRRefT22_0x_0" localSheetId="73">'491'!$T$30:$T$38</definedName>
    <definedName name="OSRRefT22_0x_0" localSheetId="87">'492'!$T$27:$T$36</definedName>
    <definedName name="OSRRefT22_0x_0" localSheetId="94">'501'!$T$21:$T$30</definedName>
    <definedName name="OSRRefT22_0x_0" localSheetId="39">'Div 2'!$T$21:$T$31</definedName>
    <definedName name="OSRRefT22_0x_0" localSheetId="47">'Div 3'!$T$128:$T$137</definedName>
    <definedName name="OSRRefT22_0x_0" localSheetId="71">'Div 4'!$T$32:$T$41</definedName>
    <definedName name="OSRRefT22_0x_0" localSheetId="93">'Div 5'!$T$21:$T$30</definedName>
    <definedName name="OSRRefT22_0x_0" localSheetId="62">'Div 6'!$T$53:$T$62</definedName>
    <definedName name="OSRRefT22_0x_0" localSheetId="2">Summary!$T$158:$T$167</definedName>
    <definedName name="OSRRefT22_10x_0" localSheetId="41">'201'!$T$59:$T$61</definedName>
    <definedName name="OSRRefT22_10x_0" localSheetId="42">'202'!$T$63</definedName>
    <definedName name="OSRRefT22_10x_0" localSheetId="43">'203'!$T$62</definedName>
    <definedName name="OSRRefT22_10x_0" localSheetId="44">'204'!$T$62:$T$63</definedName>
    <definedName name="OSRRefT22_10x_0" localSheetId="48">'300'!$T$166:$T$167</definedName>
    <definedName name="OSRRefT22_10x_0" localSheetId="49">'300 &amp; 317'!$T$190:$T$191</definedName>
    <definedName name="OSRRefT22_10x_0" localSheetId="50">'301'!$T$61</definedName>
    <definedName name="OSRRefT22_10x_0" localSheetId="51">'306'!$T$59</definedName>
    <definedName name="OSRRefT22_10x_0" localSheetId="53">'307'!$T$77:$T$78</definedName>
    <definedName name="OSRRefT22_10x_0" localSheetId="54">'308'!$T$101:$T$102</definedName>
    <definedName name="OSRRefT22_10x_0" localSheetId="65">'309'!$T$62</definedName>
    <definedName name="OSRRefT22_10x_0" localSheetId="64">'310'!$T$69</definedName>
    <definedName name="OSRRefT22_10x_0" localSheetId="72">'310 &amp; 491'!$T$76</definedName>
    <definedName name="OSRRefT22_10x_0" localSheetId="55">'311'!$T$100:$T$101</definedName>
    <definedName name="OSRRefT22_10x_0" localSheetId="66">'313'!$T$68</definedName>
    <definedName name="OSRRefT22_10x_0" localSheetId="58">'315'!$T$121</definedName>
    <definedName name="OSRRefT22_10x_0" localSheetId="61">'316'!$T$76</definedName>
    <definedName name="OSRRefT22_10x_0" localSheetId="63">'317'!$T$93</definedName>
    <definedName name="OSRRefT22_10x_0" localSheetId="67">'321'!$T$66:$T$68</definedName>
    <definedName name="OSRRefT22_10x_0" localSheetId="68">'322'!$T$64</definedName>
    <definedName name="OSRRefT22_10x_0" localSheetId="69">'325'!$T$62</definedName>
    <definedName name="OSRRefT22_10x_0" localSheetId="59">'326'!$T$86</definedName>
    <definedName name="OSRRefT22_10x_0" localSheetId="52">'330'!$T$81:$T$82</definedName>
    <definedName name="OSRRefT22_10x_0" localSheetId="57">'331'!$T$122</definedName>
    <definedName name="OSRRefT22_10x_0" localSheetId="60">'332'!$T$78</definedName>
    <definedName name="OSRRefT22_10x_0" localSheetId="74">'405'!$T$62</definedName>
    <definedName name="OSRRefT22_10x_0" localSheetId="76">'411'!$T$61:$T$64</definedName>
    <definedName name="OSRRefT22_10x_0" localSheetId="77">'412'!$T$60:$T$63</definedName>
    <definedName name="OSRRefT22_10x_0" localSheetId="78">'413'!$T$64:$T$71</definedName>
    <definedName name="OSRRefT22_10x_0" localSheetId="79">'414'!$T$63</definedName>
    <definedName name="OSRRefT22_10x_0" localSheetId="80">'415'!$T$65</definedName>
    <definedName name="OSRRefT22_10x_0" localSheetId="81">'418'!$T$64:$T$65</definedName>
    <definedName name="OSRRefT22_10x_0" localSheetId="89">'433'!$T$65</definedName>
    <definedName name="OSRRefT22_10x_0" localSheetId="91">'444'!$T$65</definedName>
    <definedName name="OSRRefT22_10x_0" localSheetId="92">'450'!$T$61</definedName>
    <definedName name="OSRRefT22_10x_0" localSheetId="73">'491'!$T$69</definedName>
    <definedName name="OSRRefT22_10x_0" localSheetId="87">'492'!$T$65</definedName>
    <definedName name="OSRRefT22_10x_0" localSheetId="94">'501'!$T$63</definedName>
    <definedName name="OSRRefT22_10x_0" localSheetId="39">'Div 2'!$T$63</definedName>
    <definedName name="OSRRefT22_10x_0" localSheetId="47">'Div 3'!$T$170:$T$171</definedName>
    <definedName name="OSRRefT22_10x_0" localSheetId="71">'Div 4'!$T$72</definedName>
    <definedName name="OSRRefT22_10x_0" localSheetId="93">'Div 5'!$T$63</definedName>
    <definedName name="OSRRefT22_10x_0" localSheetId="62">'Div 6'!$T$93</definedName>
    <definedName name="OSRRefT22_10x_0" localSheetId="2">Summary!$T$201:$T$202</definedName>
    <definedName name="OSRRefT22_11x_0" localSheetId="41">'201'!$T$63:$T$64</definedName>
    <definedName name="OSRRefT22_11x_0" localSheetId="42">'202'!$T$65</definedName>
    <definedName name="OSRRefT22_11x_0" localSheetId="43">'203'!$T$64:$T$66</definedName>
    <definedName name="OSRRefT22_11x_0" localSheetId="44">'204'!$T$65</definedName>
    <definedName name="OSRRefT22_11x_0" localSheetId="48">'300'!$T$169:$T$171</definedName>
    <definedName name="OSRRefT22_11x_0" localSheetId="49">'300 &amp; 317'!$T$193:$T$195</definedName>
    <definedName name="OSRRefT22_11x_0" localSheetId="50">'301'!$T$63</definedName>
    <definedName name="OSRRefT22_11x_0" localSheetId="53">'307'!$T$80:$T$83</definedName>
    <definedName name="OSRRefT22_11x_0" localSheetId="54">'308'!$T$104:$T$106</definedName>
    <definedName name="OSRRefT22_11x_0" localSheetId="64">'310'!$T$71</definedName>
    <definedName name="OSRRefT22_11x_0" localSheetId="72">'310 &amp; 491'!$T$78</definedName>
    <definedName name="OSRRefT22_11x_0" localSheetId="55">'311'!$T$103:$T$105</definedName>
    <definedName name="OSRRefT22_11x_0" localSheetId="66">'313'!$T$70</definedName>
    <definedName name="OSRRefT22_11x_0" localSheetId="58">'315'!$T$123</definedName>
    <definedName name="OSRRefT22_11x_0" localSheetId="61">'316'!$T$78</definedName>
    <definedName name="OSRRefT22_11x_0" localSheetId="63">'317'!$T$95:$T$98</definedName>
    <definedName name="OSRRefT22_11x_0" localSheetId="67">'321'!$T$70:$T$71</definedName>
    <definedName name="OSRRefT22_11x_0" localSheetId="68">'322'!$T$66</definedName>
    <definedName name="OSRRefT22_11x_0" localSheetId="69">'325'!$T$64:$T$67</definedName>
    <definedName name="OSRRefT22_11x_0" localSheetId="59">'326'!$T$88</definedName>
    <definedName name="OSRRefT22_11x_0" localSheetId="52">'330'!$T$84:$T$87</definedName>
    <definedName name="OSRRefT22_11x_0" localSheetId="57">'331'!$T$124:$T$125</definedName>
    <definedName name="OSRRefT22_11x_0" localSheetId="60">'332'!$T$80</definedName>
    <definedName name="OSRRefT22_11x_0" localSheetId="74">'405'!$T$64:$T$67</definedName>
    <definedName name="OSRRefT22_11x_0" localSheetId="76">'411'!$T$66:$T$67</definedName>
    <definedName name="OSRRefT22_11x_0" localSheetId="77">'412'!$T$65:$T$69</definedName>
    <definedName name="OSRRefT22_11x_0" localSheetId="78">'413'!$T$73:$T$74</definedName>
    <definedName name="OSRRefT22_11x_0" localSheetId="79">'414'!$T$65</definedName>
    <definedName name="OSRRefT22_11x_0" localSheetId="80">'415'!$T$67:$T$68</definedName>
    <definedName name="OSRRefT22_11x_0" localSheetId="81">'418'!$T$67:$T$76</definedName>
    <definedName name="OSRRefT22_11x_0" localSheetId="89">'433'!$T$67:$T$69</definedName>
    <definedName name="OSRRefT22_11x_0" localSheetId="91">'444'!$T$67:$T$70</definedName>
    <definedName name="OSRRefT22_11x_0" localSheetId="92">'450'!$T$63</definedName>
    <definedName name="OSRRefT22_11x_0" localSheetId="73">'491'!$T$71</definedName>
    <definedName name="OSRRefT22_11x_0" localSheetId="87">'492'!$T$67</definedName>
    <definedName name="OSRRefT22_11x_0" localSheetId="94">'501'!$T$65:$T$66</definedName>
    <definedName name="OSRRefT22_11x_0" localSheetId="39">'Div 2'!$T$65:$T$66</definedName>
    <definedName name="OSRRefT22_11x_0" localSheetId="47">'Div 3'!$T$173:$T$175</definedName>
    <definedName name="OSRRefT22_11x_0" localSheetId="71">'Div 4'!$T$74</definedName>
    <definedName name="OSRRefT22_11x_0" localSheetId="93">'Div 5'!$T$65:$T$66</definedName>
    <definedName name="OSRRefT22_11x_0" localSheetId="62">'Div 6'!$T$95:$T$98</definedName>
    <definedName name="OSRRefT22_11x_0" localSheetId="2">Summary!$T$204:$T$206</definedName>
    <definedName name="OSRRefT22_12x_0" localSheetId="41">'201'!$T$66</definedName>
    <definedName name="OSRRefT22_12x_0" localSheetId="42">'202'!$T$67</definedName>
    <definedName name="OSRRefT22_12x_0" localSheetId="43">'203'!$T$68</definedName>
    <definedName name="OSRRefT22_12x_0" localSheetId="44">'204'!$T$67</definedName>
    <definedName name="OSRRefT22_12x_0" localSheetId="48">'300'!$T$173</definedName>
    <definedName name="OSRRefT22_12x_0" localSheetId="49">'300 &amp; 317'!$T$197</definedName>
    <definedName name="OSRRefT22_12x_0" localSheetId="50">'301'!$T$65</definedName>
    <definedName name="OSRRefT22_12x_0" localSheetId="53">'307'!$T$85:$T$86</definedName>
    <definedName name="OSRRefT22_12x_0" localSheetId="54">'308'!$T$108:$T$109</definedName>
    <definedName name="OSRRefT22_12x_0" localSheetId="64">'310'!$T$73</definedName>
    <definedName name="OSRRefT22_12x_0" localSheetId="72">'310 &amp; 491'!$T$80</definedName>
    <definedName name="OSRRefT22_12x_0" localSheetId="55">'311'!$T$107:$T$108</definedName>
    <definedName name="OSRRefT22_12x_0" localSheetId="58">'315'!$T$125:$T$127</definedName>
    <definedName name="OSRRefT22_12x_0" localSheetId="63">'317'!$T$100</definedName>
    <definedName name="OSRRefT22_12x_0" localSheetId="67">'321'!$T$73</definedName>
    <definedName name="OSRRefT22_12x_0" localSheetId="69">'325'!$T$69:$T$71</definedName>
    <definedName name="OSRRefT22_12x_0" localSheetId="59">'326'!$T$90</definedName>
    <definedName name="OSRRefT22_12x_0" localSheetId="52">'330'!$T$89:$T$90</definedName>
    <definedName name="OSRRefT22_12x_0" localSheetId="57">'331'!$T$127</definedName>
    <definedName name="OSRRefT22_12x_0" localSheetId="74">'405'!$T$69</definedName>
    <definedName name="OSRRefT22_12x_0" localSheetId="76">'411'!$T$69:$T$75</definedName>
    <definedName name="OSRRefT22_12x_0" localSheetId="77">'412'!$T$71:$T$72</definedName>
    <definedName name="OSRRefT22_12x_0" localSheetId="78">'413'!$T$76</definedName>
    <definedName name="OSRRefT22_12x_0" localSheetId="79">'414'!$T$67:$T$69</definedName>
    <definedName name="OSRRefT22_12x_0" localSheetId="80">'415'!$T$70:$T$74</definedName>
    <definedName name="OSRRefT22_12x_0" localSheetId="81">'418'!$T$78:$T$79</definedName>
    <definedName name="OSRRefT22_12x_0" localSheetId="89">'433'!$T$71:$T$74</definedName>
    <definedName name="OSRRefT22_12x_0" localSheetId="91">'444'!$T$72:$T$75</definedName>
    <definedName name="OSRRefT22_12x_0" localSheetId="92">'450'!$T$65</definedName>
    <definedName name="OSRRefT22_12x_0" localSheetId="73">'491'!$T$73</definedName>
    <definedName name="OSRRefT22_12x_0" localSheetId="87">'492'!$T$69:$T$72</definedName>
    <definedName name="OSRRefT22_12x_0" localSheetId="94">'501'!$T$68</definedName>
    <definedName name="OSRRefT22_12x_0" localSheetId="39">'Div 2'!$T$68:$T$71</definedName>
    <definedName name="OSRRefT22_12x_0" localSheetId="47">'Div 3'!$T$177</definedName>
    <definedName name="OSRRefT22_12x_0" localSheetId="71">'Div 4'!$T$76</definedName>
    <definedName name="OSRRefT22_12x_0" localSheetId="93">'Div 5'!$T$68</definedName>
    <definedName name="OSRRefT22_12x_0" localSheetId="62">'Div 6'!$T$100</definedName>
    <definedName name="OSRRefT22_12x_0" localSheetId="2">Summary!$T$208</definedName>
    <definedName name="OSRRefT22_13x_0" localSheetId="41">'201'!$T$68:$T$70</definedName>
    <definedName name="OSRRefT22_13x_0" localSheetId="43">'203'!$T$70</definedName>
    <definedName name="OSRRefT22_13x_0" localSheetId="48">'300'!$T$175:$T$176</definedName>
    <definedName name="OSRRefT22_13x_0" localSheetId="49">'300 &amp; 317'!$T$199:$T$200</definedName>
    <definedName name="OSRRefT22_13x_0" localSheetId="50">'301'!$T$67</definedName>
    <definedName name="OSRRefT22_13x_0" localSheetId="53">'307'!$T$88</definedName>
    <definedName name="OSRRefT22_13x_0" localSheetId="54">'308'!$T$111</definedName>
    <definedName name="OSRRefT22_13x_0" localSheetId="64">'310'!$T$75:$T$78</definedName>
    <definedName name="OSRRefT22_13x_0" localSheetId="72">'310 &amp; 491'!$T$82:$T$85</definedName>
    <definedName name="OSRRefT22_13x_0" localSheetId="55">'311'!$T$110</definedName>
    <definedName name="OSRRefT22_13x_0" localSheetId="58">'315'!$T$129:$T$130</definedName>
    <definedName name="OSRRefT22_13x_0" localSheetId="63">'317'!$T$102</definedName>
    <definedName name="OSRRefT22_13x_0" localSheetId="67">'321'!$T$75</definedName>
    <definedName name="OSRRefT22_13x_0" localSheetId="69">'325'!$T$73</definedName>
    <definedName name="OSRRefT22_13x_0" localSheetId="59">'326'!$T$92:$T$94</definedName>
    <definedName name="OSRRefT22_13x_0" localSheetId="52">'330'!$T$92</definedName>
    <definedName name="OSRRefT22_13x_0" localSheetId="57">'331'!$T$129</definedName>
    <definedName name="OSRRefT22_13x_0" localSheetId="74">'405'!$T$71:$T$79</definedName>
    <definedName name="OSRRefT22_13x_0" localSheetId="76">'411'!$T$77</definedName>
    <definedName name="OSRRefT22_13x_0" localSheetId="77">'412'!$T$74</definedName>
    <definedName name="OSRRefT22_13x_0" localSheetId="79">'414'!$T$71</definedName>
    <definedName name="OSRRefT22_13x_0" localSheetId="80">'415'!$T$76</definedName>
    <definedName name="OSRRefT22_13x_0" localSheetId="81">'418'!$T$81</definedName>
    <definedName name="OSRRefT22_13x_0" localSheetId="89">'433'!$T$76:$T$83</definedName>
    <definedName name="OSRRefT22_13x_0" localSheetId="91">'444'!$T$77</definedName>
    <definedName name="OSRRefT22_13x_0" localSheetId="92">'450'!$T$67:$T$69</definedName>
    <definedName name="OSRRefT22_13x_0" localSheetId="73">'491'!$T$75:$T$78</definedName>
    <definedName name="OSRRefT22_13x_0" localSheetId="87">'492'!$T$74:$T$77</definedName>
    <definedName name="OSRRefT22_13x_0" localSheetId="94">'501'!$T$70</definedName>
    <definedName name="OSRRefT22_13x_0" localSheetId="39">'Div 2'!$T$73:$T$76</definedName>
    <definedName name="OSRRefT22_13x_0" localSheetId="47">'Div 3'!$T$179</definedName>
    <definedName name="OSRRefT22_13x_0" localSheetId="71">'Div 4'!$T$78</definedName>
    <definedName name="OSRRefT22_13x_0" localSheetId="93">'Div 5'!$T$70</definedName>
    <definedName name="OSRRefT22_13x_0" localSheetId="62">'Div 6'!$T$102</definedName>
    <definedName name="OSRRefT22_13x_0" localSheetId="2">Summary!$T$210</definedName>
    <definedName name="OSRRefT22_14x_0" localSheetId="41">'201'!$T$72</definedName>
    <definedName name="OSRRefT22_14x_0" localSheetId="43">'203'!$T$72</definedName>
    <definedName name="OSRRefT22_14x_0" localSheetId="48">'300'!$T$178</definedName>
    <definedName name="OSRRefT22_14x_0" localSheetId="49">'300 &amp; 317'!$T$202</definedName>
    <definedName name="OSRRefT22_14x_0" localSheetId="50">'301'!$T$69</definedName>
    <definedName name="OSRRefT22_14x_0" localSheetId="54">'308'!$T$113</definedName>
    <definedName name="OSRRefT22_14x_0" localSheetId="64">'310'!$T$80:$T$81</definedName>
    <definedName name="OSRRefT22_14x_0" localSheetId="72">'310 &amp; 491'!$T$87:$T$88</definedName>
    <definedName name="OSRRefT22_14x_0" localSheetId="55">'311'!$T$112</definedName>
    <definedName name="OSRRefT22_14x_0" localSheetId="58">'315'!$T$132:$T$138</definedName>
    <definedName name="OSRRefT22_14x_0" localSheetId="69">'325'!$T$75:$T$79</definedName>
    <definedName name="OSRRefT22_14x_0" localSheetId="59">'326'!$T$96:$T$98</definedName>
    <definedName name="OSRRefT22_14x_0" localSheetId="57">'331'!$T$131:$T$133</definedName>
    <definedName name="OSRRefT22_14x_0" localSheetId="74">'405'!$T$81</definedName>
    <definedName name="OSRRefT22_14x_0" localSheetId="76">'411'!$T$79</definedName>
    <definedName name="OSRRefT22_14x_0" localSheetId="79">'414'!$T$73</definedName>
    <definedName name="OSRRefT22_14x_0" localSheetId="80">'415'!$T$78:$T$85</definedName>
    <definedName name="OSRRefT22_14x_0" localSheetId="89">'433'!$T$85</definedName>
    <definedName name="OSRRefT22_14x_0" localSheetId="91">'444'!$T$79:$T$87</definedName>
    <definedName name="OSRRefT22_14x_0" localSheetId="92">'450'!$T$71:$T$77</definedName>
    <definedName name="OSRRefT22_14x_0" localSheetId="73">'491'!$T$80:$T$81</definedName>
    <definedName name="OSRRefT22_14x_0" localSheetId="87">'492'!$T$79</definedName>
    <definedName name="OSRRefT22_14x_0" localSheetId="39">'Div 2'!$T$78:$T$79</definedName>
    <definedName name="OSRRefT22_14x_0" localSheetId="47">'Div 3'!$T$181:$T$182</definedName>
    <definedName name="OSRRefT22_14x_0" localSheetId="71">'Div 4'!$T$80</definedName>
    <definedName name="OSRRefT22_14x_0" localSheetId="2">Summary!$T$212:$T$213</definedName>
    <definedName name="OSRRefT22_15x_0" localSheetId="41">'201'!$T$74</definedName>
    <definedName name="OSRRefT22_15x_0" localSheetId="48">'300'!$T$180</definedName>
    <definedName name="OSRRefT22_15x_0" localSheetId="49">'300 &amp; 317'!$T$204</definedName>
    <definedName name="OSRRefT22_15x_0" localSheetId="50">'301'!$T$71:$T$74</definedName>
    <definedName name="OSRRefT22_15x_0" localSheetId="64">'310'!$T$83:$T$86</definedName>
    <definedName name="OSRRefT22_15x_0" localSheetId="72">'310 &amp; 491'!$T$90:$T$94</definedName>
    <definedName name="OSRRefT22_15x_0" localSheetId="58">'315'!$T$140</definedName>
    <definedName name="OSRRefT22_15x_0" localSheetId="69">'325'!$T$81:$T$82</definedName>
    <definedName name="OSRRefT22_15x_0" localSheetId="59">'326'!$T$100:$T$101</definedName>
    <definedName name="OSRRefT22_15x_0" localSheetId="57">'331'!$T$135:$T$137</definedName>
    <definedName name="OSRRefT22_15x_0" localSheetId="74">'405'!$T$83</definedName>
    <definedName name="OSRRefT22_15x_0" localSheetId="76">'411'!$T$81</definedName>
    <definedName name="OSRRefT22_15x_0" localSheetId="79">'414'!$T$75</definedName>
    <definedName name="OSRRefT22_15x_0" localSheetId="80">'415'!$T$87:$T$88</definedName>
    <definedName name="OSRRefT22_15x_0" localSheetId="89">'433'!$T$87</definedName>
    <definedName name="OSRRefT22_15x_0" localSheetId="91">'444'!$T$89:$T$90</definedName>
    <definedName name="OSRRefT22_15x_0" localSheetId="92">'450'!$T$79:$T$80</definedName>
    <definedName name="OSRRefT22_15x_0" localSheetId="73">'491'!$T$83:$T$87</definedName>
    <definedName name="OSRRefT22_15x_0" localSheetId="87">'492'!$T$81:$T$90</definedName>
    <definedName name="OSRRefT22_15x_0" localSheetId="39">'Div 2'!$T$81:$T$82</definedName>
    <definedName name="OSRRefT22_15x_0" localSheetId="47">'Div 3'!$T$184</definedName>
    <definedName name="OSRRefT22_15x_0" localSheetId="71">'Div 4'!$T$82:$T$85</definedName>
    <definedName name="OSRRefT22_15x_0" localSheetId="2">Summary!$T$215</definedName>
    <definedName name="OSRRefT22_16x_0" localSheetId="41">'201'!$T$76</definedName>
    <definedName name="OSRRefT22_16x_0" localSheetId="48">'300'!$T$182:$T$185</definedName>
    <definedName name="OSRRefT22_16x_0" localSheetId="49">'300 &amp; 317'!$T$206:$T$209</definedName>
    <definedName name="OSRRefT22_16x_0" localSheetId="50">'301'!$T$76:$T$78</definedName>
    <definedName name="OSRRefT22_16x_0" localSheetId="64">'310'!$T$88</definedName>
    <definedName name="OSRRefT22_16x_0" localSheetId="72">'310 &amp; 491'!$T$96:$T$97</definedName>
    <definedName name="OSRRefT22_16x_0" localSheetId="58">'315'!$T$142</definedName>
    <definedName name="OSRRefT22_16x_0" localSheetId="69">'325'!$T$84</definedName>
    <definedName name="OSRRefT22_16x_0" localSheetId="59">'326'!$T$103:$T$108</definedName>
    <definedName name="OSRRefT22_16x_0" localSheetId="57">'331'!$T$139:$T$141</definedName>
    <definedName name="OSRRefT22_16x_0" localSheetId="74">'405'!$T$85</definedName>
    <definedName name="OSRRefT22_16x_0" localSheetId="80">'415'!$T$90</definedName>
    <definedName name="OSRRefT22_16x_0" localSheetId="91">'444'!$T$92</definedName>
    <definedName name="OSRRefT22_16x_0" localSheetId="92">'450'!$T$82</definedName>
    <definedName name="OSRRefT22_16x_0" localSheetId="73">'491'!$T$89:$T$90</definedName>
    <definedName name="OSRRefT22_16x_0" localSheetId="87">'492'!$T$92:$T$93</definedName>
    <definedName name="OSRRefT22_16x_0" localSheetId="39">'Div 2'!$T$84:$T$88</definedName>
    <definedName name="OSRRefT22_16x_0" localSheetId="47">'Div 3'!$T$186</definedName>
    <definedName name="OSRRefT22_16x_0" localSheetId="71">'Div 4'!$T$87:$T$88</definedName>
    <definedName name="OSRRefT22_16x_0" localSheetId="2">Summary!$T$217</definedName>
    <definedName name="OSRRefT22_17x_0" localSheetId="48">'300'!$T$187:$T$190</definedName>
    <definedName name="OSRRefT22_17x_0" localSheetId="49">'300 &amp; 317'!$T$211:$T$214</definedName>
    <definedName name="OSRRefT22_17x_0" localSheetId="50">'301'!$T$80</definedName>
    <definedName name="OSRRefT22_17x_0" localSheetId="64">'310'!$T$90:$T$96</definedName>
    <definedName name="OSRRefT22_17x_0" localSheetId="72">'310 &amp; 491'!$T$99:$T$109</definedName>
    <definedName name="OSRRefT22_17x_0" localSheetId="58">'315'!$T$144:$T$145</definedName>
    <definedName name="OSRRefT22_17x_0" localSheetId="69">'325'!$T$86</definedName>
    <definedName name="OSRRefT22_17x_0" localSheetId="59">'326'!$T$110:$T$111</definedName>
    <definedName name="OSRRefT22_17x_0" localSheetId="57">'331'!$T$143:$T$144</definedName>
    <definedName name="OSRRefT22_17x_0" localSheetId="74">'405'!$T$87</definedName>
    <definedName name="OSRRefT22_17x_0" localSheetId="80">'415'!$T$92:$T$93</definedName>
    <definedName name="OSRRefT22_17x_0" localSheetId="91">'444'!$T$94</definedName>
    <definedName name="OSRRefT22_17x_0" localSheetId="73">'491'!$T$92:$T$102</definedName>
    <definedName name="OSRRefT22_17x_0" localSheetId="87">'492'!$T$95</definedName>
    <definedName name="OSRRefT22_17x_0" localSheetId="39">'Div 2'!$T$90:$T$91</definedName>
    <definedName name="OSRRefT22_17x_0" localSheetId="47">'Div 3'!$T$188:$T$191</definedName>
    <definedName name="OSRRefT22_17x_0" localSheetId="71">'Div 4'!$T$90:$T$94</definedName>
    <definedName name="OSRRefT22_17x_0" localSheetId="2">Summary!$T$219</definedName>
    <definedName name="OSRRefT22_18x_0" localSheetId="48">'300'!$T$192:$T$195</definedName>
    <definedName name="OSRRefT22_18x_0" localSheetId="49">'300 &amp; 317'!$T$216:$T$219</definedName>
    <definedName name="OSRRefT22_18x_0" localSheetId="50">'301'!$T$82:$T$88</definedName>
    <definedName name="OSRRefT22_18x_0" localSheetId="64">'310'!$T$98:$T$99</definedName>
    <definedName name="OSRRefT22_18x_0" localSheetId="72">'310 &amp; 491'!$T$111:$T$112</definedName>
    <definedName name="OSRRefT22_18x_0" localSheetId="59">'326'!$T$113</definedName>
    <definedName name="OSRRefT22_18x_0" localSheetId="57">'331'!$T$146:$T$153</definedName>
    <definedName name="OSRRefT22_18x_0" localSheetId="80">'415'!$T$95</definedName>
    <definedName name="OSRRefT22_18x_0" localSheetId="73">'491'!$T$104:$T$105</definedName>
    <definedName name="OSRRefT22_18x_0" localSheetId="87">'492'!$T$97:$T$98</definedName>
    <definedName name="OSRRefT22_18x_0" localSheetId="39">'Div 2'!$T$93</definedName>
    <definedName name="OSRRefT22_18x_0" localSheetId="47">'Div 3'!$T$193:$T$196</definedName>
    <definedName name="OSRRefT22_18x_0" localSheetId="71">'Div 4'!$T$96:$T$97</definedName>
    <definedName name="OSRRefT22_18x_0" localSheetId="2">Summary!$T$221:$T$224</definedName>
    <definedName name="OSRRefT22_19x_0" localSheetId="48">'300'!$T$197:$T$198</definedName>
    <definedName name="OSRRefT22_19x_0" localSheetId="49">'300 &amp; 317'!$T$221:$T$222</definedName>
    <definedName name="OSRRefT22_19x_0" localSheetId="50">'301'!$T$90</definedName>
    <definedName name="OSRRefT22_19x_0" localSheetId="64">'310'!$T$101</definedName>
    <definedName name="OSRRefT22_19x_0" localSheetId="72">'310 &amp; 491'!$T$114</definedName>
    <definedName name="OSRRefT22_19x_0" localSheetId="59">'326'!$T$115:$T$116</definedName>
    <definedName name="OSRRefT22_19x_0" localSheetId="57">'331'!$T$155:$T$156</definedName>
    <definedName name="OSRRefT22_19x_0" localSheetId="73">'491'!$T$107</definedName>
    <definedName name="OSRRefT22_19x_0" localSheetId="39">'Div 2'!$T$95:$T$96</definedName>
    <definedName name="OSRRefT22_19x_0" localSheetId="47">'Div 3'!$T$198:$T$202</definedName>
    <definedName name="OSRRefT22_19x_0" localSheetId="71">'Div 4'!$T$99:$T$109</definedName>
    <definedName name="OSRRefT22_19x_0" localSheetId="2">Summary!$T$226:$T$229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'300'!$T$135:$T$144</definedName>
    <definedName name="OSRRefT22_1x_0" localSheetId="49">'300 &amp; 317'!$T$159:$T$168</definedName>
    <definedName name="OSRRefT22_1x_0" localSheetId="50">'301'!$T$32:$T$41</definedName>
    <definedName name="OSRRefT22_1x_0" localSheetId="51">'306'!$T$30:$T$39</definedName>
    <definedName name="OSRRefT22_1x_0" localSheetId="53">'307'!$T$48:$T$57</definedName>
    <definedName name="OSRRefT22_1x_0" localSheetId="54">'308'!$T$70:$T$79</definedName>
    <definedName name="OSRRefT22_1x_0" localSheetId="65">'309'!$T$31:$T$40</definedName>
    <definedName name="OSRRefT22_1x_0" localSheetId="64">'310'!$T$41:$T$50</definedName>
    <definedName name="OSRRefT22_1x_0" localSheetId="72">'310 &amp; 491'!$T$46:$T$55</definedName>
    <definedName name="OSRRefT22_1x_0" localSheetId="55">'311'!$T$69:$T$78</definedName>
    <definedName name="OSRRefT22_1x_0" localSheetId="66">'313'!$T$37:$T$46</definedName>
    <definedName name="OSRRefT22_1x_0" localSheetId="58">'315'!$T$91:$T$100</definedName>
    <definedName name="OSRRefT22_1x_0" localSheetId="61">'316'!$T$42:$T$51</definedName>
    <definedName name="OSRRefT22_1x_0" localSheetId="63">'317'!$T$64:$T$73</definedName>
    <definedName name="OSRRefT22_1x_0" localSheetId="67">'321'!$T$36:$T$45</definedName>
    <definedName name="OSRRefT22_1x_0" localSheetId="68">'322'!$T$32:$T$41</definedName>
    <definedName name="OSRRefT22_1x_0" localSheetId="56">'324'!$T$36:$T$45</definedName>
    <definedName name="OSRRefT22_1x_0" localSheetId="69">'325'!$T$34:$T$43</definedName>
    <definedName name="OSRRefT22_1x_0" localSheetId="59">'326'!$T$58:$T$67</definedName>
    <definedName name="OSRRefT22_1x_0" localSheetId="70">'327'!$T$26</definedName>
    <definedName name="OSRRefT22_1x_0" localSheetId="52">'330'!$T$52:$T$61</definedName>
    <definedName name="OSRRefT22_1x_0" localSheetId="57">'331'!$T$92:$T$101</definedName>
    <definedName name="OSRRefT22_1x_0" localSheetId="60">'332'!$T$44:$T$53</definedName>
    <definedName name="OSRRefT22_1x_0" localSheetId="74">'405'!$T$33:$T$42</definedName>
    <definedName name="OSRRefT22_1x_0" localSheetId="75">'406'!$T$22</definedName>
    <definedName name="OSRRefT22_1x_0" localSheetId="76">'411'!$T$30:$T$39</definedName>
    <definedName name="OSRRefT22_1x_0" localSheetId="77">'412'!$T$31:$T$40</definedName>
    <definedName name="OSRRefT22_1x_0" localSheetId="78">'413'!$T$33:$T$42</definedName>
    <definedName name="OSRRefT22_1x_0" localSheetId="79">'414'!$T$35:$T$44</definedName>
    <definedName name="OSRRefT22_1x_0" localSheetId="80">'415'!$T$37:$T$46</definedName>
    <definedName name="OSRRefT22_1x_0" localSheetId="81">'418'!$T$33:$T$42</definedName>
    <definedName name="OSRRefT22_1x_0" localSheetId="82">'420'!$T$24</definedName>
    <definedName name="OSRRefT22_1x_0" localSheetId="83">'423'!$T$29:$T$38</definedName>
    <definedName name="OSRRefT22_1x_0" localSheetId="84">'424'!$T$22</definedName>
    <definedName name="OSRRefT22_1x_0" localSheetId="85">'425'!$T$27</definedName>
    <definedName name="OSRRefT22_1x_0" localSheetId="88">'430'!$T$30:$T$39</definedName>
    <definedName name="OSRRefT22_1x_0" localSheetId="89">'433'!$T$38:$T$47</definedName>
    <definedName name="OSRRefT22_1x_0" localSheetId="91">'444'!$T$38:$T$47</definedName>
    <definedName name="OSRRefT22_1x_0" localSheetId="92">'450'!$T$34:$T$43</definedName>
    <definedName name="OSRRefT22_1x_0" localSheetId="73">'491'!$T$40:$T$49</definedName>
    <definedName name="OSRRefT22_1x_0" localSheetId="87">'492'!$T$38:$T$47</definedName>
    <definedName name="OSRRefT22_1x_0" localSheetId="94">'501'!$T$32:$T$41</definedName>
    <definedName name="OSRRefT22_1x_0" localSheetId="39">'Div 2'!$T$33:$T$42</definedName>
    <definedName name="OSRRefT22_1x_0" localSheetId="47">'Div 3'!$T$139:$T$148</definedName>
    <definedName name="OSRRefT22_1x_0" localSheetId="71">'Div 4'!$T$43:$T$52</definedName>
    <definedName name="OSRRefT22_1x_0" localSheetId="93">'Div 5'!$T$32:$T$41</definedName>
    <definedName name="OSRRefT22_1x_0" localSheetId="62">'Div 6'!$T$64:$T$73</definedName>
    <definedName name="OSRRefT22_1x_0" localSheetId="2">Summary!$T$169:$T$178</definedName>
    <definedName name="OSRRefT22_20x_0" localSheetId="48">'300'!$T$200:$T$208</definedName>
    <definedName name="OSRRefT22_20x_0" localSheetId="49">'300 &amp; 317'!$T$224:$T$232</definedName>
    <definedName name="OSRRefT22_20x_0" localSheetId="50">'301'!$T$92</definedName>
    <definedName name="OSRRefT22_20x_0" localSheetId="64">'310'!$T$103</definedName>
    <definedName name="OSRRefT22_20x_0" localSheetId="72">'310 &amp; 491'!$T$116:$T$118</definedName>
    <definedName name="OSRRefT22_20x_0" localSheetId="59">'326'!$T$118</definedName>
    <definedName name="OSRRefT22_20x_0" localSheetId="57">'331'!$T$158</definedName>
    <definedName name="OSRRefT22_20x_0" localSheetId="73">'491'!$T$109:$T$111</definedName>
    <definedName name="OSRRefT22_20x_0" localSheetId="47">'Div 3'!$T$204:$T$205</definedName>
    <definedName name="OSRRefT22_20x_0" localSheetId="71">'Div 4'!$T$111:$T$112</definedName>
    <definedName name="OSRRefT22_20x_0" localSheetId="2">Summary!$T$231:$T$235</definedName>
    <definedName name="OSRRefT22_21x_0" localSheetId="48">'300'!$T$210:$T$211</definedName>
    <definedName name="OSRRefT22_21x_0" localSheetId="49">'300 &amp; 317'!$T$234:$T$235</definedName>
    <definedName name="OSRRefT22_21x_0" localSheetId="50">'301'!$T$94:$T$95</definedName>
    <definedName name="OSRRefT22_21x_0" localSheetId="64">'310'!$T$105</definedName>
    <definedName name="OSRRefT22_21x_0" localSheetId="72">'310 &amp; 491'!$T$120</definedName>
    <definedName name="OSRRefT22_21x_0" localSheetId="57">'331'!$T$160:$T$161</definedName>
    <definedName name="OSRRefT22_21x_0" localSheetId="73">'491'!$T$113</definedName>
    <definedName name="OSRRefT22_21x_0" localSheetId="47">'Div 3'!$T$207:$T$215</definedName>
    <definedName name="OSRRefT22_21x_0" localSheetId="71">'Div 4'!$T$114</definedName>
    <definedName name="OSRRefT22_21x_0" localSheetId="2">Summary!$T$237:$T$238</definedName>
    <definedName name="OSRRefT22_22x_0" localSheetId="48">'300'!$T$213</definedName>
    <definedName name="OSRRefT22_22x_0" localSheetId="49">'300 &amp; 317'!$T$237</definedName>
    <definedName name="OSRRefT22_22x_0" localSheetId="50">'301'!$T$97</definedName>
    <definedName name="OSRRefT22_22x_0" localSheetId="57">'331'!$T$163</definedName>
    <definedName name="OSRRefT22_22x_0" localSheetId="47">'Div 3'!$T$217:$T$218</definedName>
    <definedName name="OSRRefT22_22x_0" localSheetId="71">'Div 4'!$T$116:$T$118</definedName>
    <definedName name="OSRRefT22_22x_0" localSheetId="2">Summary!$T$240:$T$250</definedName>
    <definedName name="OSRRefT22_23x_0" localSheetId="48">'300'!$T$215:$T$217</definedName>
    <definedName name="OSRRefT22_23x_0" localSheetId="49">'300 &amp; 317'!$T$239:$T$241</definedName>
    <definedName name="OSRRefT22_23x_0" localSheetId="47">'Div 3'!$T$220</definedName>
    <definedName name="OSRRefT22_23x_0" localSheetId="71">'Div 4'!$T$120</definedName>
    <definedName name="OSRRefT22_23x_0" localSheetId="2">Summary!$T$252:$T$253</definedName>
    <definedName name="OSRRefT22_24x_0" localSheetId="48">'300'!$T$219</definedName>
    <definedName name="OSRRefT22_24x_0" localSheetId="49">'300 &amp; 317'!$T$243</definedName>
    <definedName name="OSRRefT22_24x_0" localSheetId="47">'Div 3'!$T$222:$T$224</definedName>
    <definedName name="OSRRefT22_24x_0" localSheetId="2">Summary!$T$255</definedName>
    <definedName name="OSRRefT22_25x_0" localSheetId="47">'Div 3'!$T$226</definedName>
    <definedName name="OSRRefT22_25x_0" localSheetId="2">Summary!$T$257:$T$259</definedName>
    <definedName name="OSRRefT22_26x_0" localSheetId="2">Summary!$T$261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'300'!$T$146</definedName>
    <definedName name="OSRRefT22_2x_0" localSheetId="49">'300 &amp; 317'!$T$170</definedName>
    <definedName name="OSRRefT22_2x_0" localSheetId="50">'301'!$T$43</definedName>
    <definedName name="OSRRefT22_2x_0" localSheetId="51">'306'!$T$41</definedName>
    <definedName name="OSRRefT22_2x_0" localSheetId="53">'307'!$T$59</definedName>
    <definedName name="OSRRefT22_2x_0" localSheetId="54">'308'!$T$81</definedName>
    <definedName name="OSRRefT22_2x_0" localSheetId="65">'309'!$T$42</definedName>
    <definedName name="OSRRefT22_2x_0" localSheetId="64">'310'!$T$52</definedName>
    <definedName name="OSRRefT22_2x_0" localSheetId="72">'310 &amp; 491'!$T$57</definedName>
    <definedName name="OSRRefT22_2x_0" localSheetId="55">'311'!$T$80</definedName>
    <definedName name="OSRRefT22_2x_0" localSheetId="66">'313'!$T$48</definedName>
    <definedName name="OSRRefT22_2x_0" localSheetId="58">'315'!$T$102</definedName>
    <definedName name="OSRRefT22_2x_0" localSheetId="61">'316'!$T$53</definedName>
    <definedName name="OSRRefT22_2x_0" localSheetId="63">'317'!$T$75</definedName>
    <definedName name="OSRRefT22_2x_0" localSheetId="67">'321'!$T$47</definedName>
    <definedName name="OSRRefT22_2x_0" localSheetId="68">'322'!$T$43</definedName>
    <definedName name="OSRRefT22_2x_0" localSheetId="69">'325'!$T$45</definedName>
    <definedName name="OSRRefT22_2x_0" localSheetId="59">'326'!$T$69</definedName>
    <definedName name="OSRRefT22_2x_0" localSheetId="52">'330'!$T$63</definedName>
    <definedName name="OSRRefT22_2x_0" localSheetId="57">'331'!$T$103</definedName>
    <definedName name="OSRRefT22_2x_0" localSheetId="60">'332'!$T$55</definedName>
    <definedName name="OSRRefT22_2x_0" localSheetId="74">'405'!$T$44</definedName>
    <definedName name="OSRRefT22_2x_0" localSheetId="75">'406'!$T$24</definedName>
    <definedName name="OSRRefT22_2x_0" localSheetId="76">'411'!$T$41</definedName>
    <definedName name="OSRRefT22_2x_0" localSheetId="77">'412'!$T$42</definedName>
    <definedName name="OSRRefT22_2x_0" localSheetId="78">'413'!$T$44</definedName>
    <definedName name="OSRRefT22_2x_0" localSheetId="79">'414'!$T$46</definedName>
    <definedName name="OSRRefT22_2x_0" localSheetId="80">'415'!$T$48</definedName>
    <definedName name="OSRRefT22_2x_0" localSheetId="81">'418'!$T$44</definedName>
    <definedName name="OSRRefT22_2x_0" localSheetId="83">'423'!$T$40</definedName>
    <definedName name="OSRRefT22_2x_0" localSheetId="84">'424'!$T$24</definedName>
    <definedName name="OSRRefT22_2x_0" localSheetId="85">'425'!$T$29</definedName>
    <definedName name="OSRRefT22_2x_0" localSheetId="88">'430'!$T$41</definedName>
    <definedName name="OSRRefT22_2x_0" localSheetId="89">'433'!$T$49</definedName>
    <definedName name="OSRRefT22_2x_0" localSheetId="91">'444'!$T$49</definedName>
    <definedName name="OSRRefT22_2x_0" localSheetId="92">'450'!$T$45</definedName>
    <definedName name="OSRRefT22_2x_0" localSheetId="73">'491'!$T$51</definedName>
    <definedName name="OSRRefT22_2x_0" localSheetId="87">'492'!$T$49</definedName>
    <definedName name="OSRRefT22_2x_0" localSheetId="94">'501'!$T$43</definedName>
    <definedName name="OSRRefT22_2x_0" localSheetId="39">'Div 2'!$T$44</definedName>
    <definedName name="OSRRefT22_2x_0" localSheetId="47">'Div 3'!$T$150</definedName>
    <definedName name="OSRRefT22_2x_0" localSheetId="71">'Div 4'!$T$54</definedName>
    <definedName name="OSRRefT22_2x_0" localSheetId="93">'Div 5'!$T$43</definedName>
    <definedName name="OSRRefT22_2x_0" localSheetId="62">'Div 6'!$T$75</definedName>
    <definedName name="OSRRefT22_2x_0" localSheetId="2">Summary!$T$180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'300'!$T$148:$T$149</definedName>
    <definedName name="OSRRefT22_3x_0" localSheetId="49">'300 &amp; 317'!$T$172:$T$173</definedName>
    <definedName name="OSRRefT22_3x_0" localSheetId="50">'301'!$T$45:$T$46</definedName>
    <definedName name="OSRRefT22_3x_0" localSheetId="51">'306'!$T$43</definedName>
    <definedName name="OSRRefT22_3x_0" localSheetId="53">'307'!$T$61</definedName>
    <definedName name="OSRRefT22_3x_0" localSheetId="54">'308'!$T$83:$T$84</definedName>
    <definedName name="OSRRefT22_3x_0" localSheetId="65">'309'!$T$44</definedName>
    <definedName name="OSRRefT22_3x_0" localSheetId="64">'310'!$T$54</definedName>
    <definedName name="OSRRefT22_3x_0" localSheetId="72">'310 &amp; 491'!$T$59</definedName>
    <definedName name="OSRRefT22_3x_0" localSheetId="55">'311'!$T$82:$T$83</definedName>
    <definedName name="OSRRefT22_3x_0" localSheetId="66">'313'!$T$50</definedName>
    <definedName name="OSRRefT22_3x_0" localSheetId="58">'315'!$T$104</definedName>
    <definedName name="OSRRefT22_3x_0" localSheetId="61">'316'!$T$55</definedName>
    <definedName name="OSRRefT22_3x_0" localSheetId="63">'317'!$T$77</definedName>
    <definedName name="OSRRefT22_3x_0" localSheetId="67">'321'!$T$49</definedName>
    <definedName name="OSRRefT22_3x_0" localSheetId="68">'322'!$T$45</definedName>
    <definedName name="OSRRefT22_3x_0" localSheetId="69">'325'!$T$47</definedName>
    <definedName name="OSRRefT22_3x_0" localSheetId="59">'326'!$T$71</definedName>
    <definedName name="OSRRefT22_3x_0" localSheetId="52">'330'!$T$65</definedName>
    <definedName name="OSRRefT22_3x_0" localSheetId="57">'331'!$T$105</definedName>
    <definedName name="OSRRefT22_3x_0" localSheetId="60">'332'!$T$57</definedName>
    <definedName name="OSRRefT22_3x_0" localSheetId="74">'405'!$T$46</definedName>
    <definedName name="OSRRefT22_3x_0" localSheetId="75">'406'!$T$26</definedName>
    <definedName name="OSRRefT22_3x_0" localSheetId="76">'411'!$T$43</definedName>
    <definedName name="OSRRefT22_3x_0" localSheetId="77">'412'!$T$44</definedName>
    <definedName name="OSRRefT22_3x_0" localSheetId="78">'413'!$T$46</definedName>
    <definedName name="OSRRefT22_3x_0" localSheetId="79">'414'!$T$48</definedName>
    <definedName name="OSRRefT22_3x_0" localSheetId="80">'415'!$T$50</definedName>
    <definedName name="OSRRefT22_3x_0" localSheetId="81">'418'!$T$46</definedName>
    <definedName name="OSRRefT22_3x_0" localSheetId="83">'423'!$T$42:$T$43</definedName>
    <definedName name="OSRRefT22_3x_0" localSheetId="84">'424'!$T$26</definedName>
    <definedName name="OSRRefT22_3x_0" localSheetId="85">'425'!$T$31</definedName>
    <definedName name="OSRRefT22_3x_0" localSheetId="88">'430'!$T$43</definedName>
    <definedName name="OSRRefT22_3x_0" localSheetId="89">'433'!$T$51</definedName>
    <definedName name="OSRRefT22_3x_0" localSheetId="91">'444'!$T$51</definedName>
    <definedName name="OSRRefT22_3x_0" localSheetId="92">'450'!$T$47</definedName>
    <definedName name="OSRRefT22_3x_0" localSheetId="73">'491'!$T$53</definedName>
    <definedName name="OSRRefT22_3x_0" localSheetId="87">'492'!$T$51</definedName>
    <definedName name="OSRRefT22_3x_0" localSheetId="94">'501'!$T$45</definedName>
    <definedName name="OSRRefT22_3x_0" localSheetId="39">'Div 2'!$T$46</definedName>
    <definedName name="OSRRefT22_3x_0" localSheetId="47">'Div 3'!$T$152:$T$153</definedName>
    <definedName name="OSRRefT22_3x_0" localSheetId="71">'Div 4'!$T$56</definedName>
    <definedName name="OSRRefT22_3x_0" localSheetId="93">'Div 5'!$T$45</definedName>
    <definedName name="OSRRefT22_3x_0" localSheetId="62">'Div 6'!$T$77</definedName>
    <definedName name="OSRRefT22_3x_0" localSheetId="2">Summary!$T$182:$T$183</definedName>
    <definedName name="OSRRefT22_4x_0" localSheetId="40">'200'!$T$28:$T$29</definedName>
    <definedName name="OSRRefT22_4x_0" localSheetId="41">'201'!$T$46:$T$47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'205'!$T$45:$T$47</definedName>
    <definedName name="OSRRefT22_4x_0" localSheetId="46">'206'!$T$45</definedName>
    <definedName name="OSRRefT22_4x_0" localSheetId="48">'300'!$T$151</definedName>
    <definedName name="OSRRefT22_4x_0" localSheetId="49">'300 &amp; 317'!$T$175</definedName>
    <definedName name="OSRRefT22_4x_0" localSheetId="50">'301'!$T$48</definedName>
    <definedName name="OSRRefT22_4x_0" localSheetId="51">'306'!$T$45</definedName>
    <definedName name="OSRRefT22_4x_0" localSheetId="53">'307'!$T$63</definedName>
    <definedName name="OSRRefT22_4x_0" localSheetId="54">'308'!$T$86</definedName>
    <definedName name="OSRRefT22_4x_0" localSheetId="65">'309'!$T$46</definedName>
    <definedName name="OSRRefT22_4x_0" localSheetId="64">'310'!$T$56</definedName>
    <definedName name="OSRRefT22_4x_0" localSheetId="72">'310 &amp; 491'!$T$61</definedName>
    <definedName name="OSRRefT22_4x_0" localSheetId="55">'311'!$T$85</definedName>
    <definedName name="OSRRefT22_4x_0" localSheetId="66">'313'!$T$52</definedName>
    <definedName name="OSRRefT22_4x_0" localSheetId="58">'315'!$T$106</definedName>
    <definedName name="OSRRefT22_4x_0" localSheetId="61">'316'!$T$57</definedName>
    <definedName name="OSRRefT22_4x_0" localSheetId="63">'317'!$T$79</definedName>
    <definedName name="OSRRefT22_4x_0" localSheetId="67">'321'!$T$51</definedName>
    <definedName name="OSRRefT22_4x_0" localSheetId="68">'322'!$T$47</definedName>
    <definedName name="OSRRefT22_4x_0" localSheetId="69">'325'!$T$49</definedName>
    <definedName name="OSRRefT22_4x_0" localSheetId="59">'326'!$T$73</definedName>
    <definedName name="OSRRefT22_4x_0" localSheetId="52">'330'!$T$67</definedName>
    <definedName name="OSRRefT22_4x_0" localSheetId="57">'331'!$T$107</definedName>
    <definedName name="OSRRefT22_4x_0" localSheetId="60">'332'!$T$59</definedName>
    <definedName name="OSRRefT22_4x_0" localSheetId="74">'405'!$T$48:$T$49</definedName>
    <definedName name="OSRRefT22_4x_0" localSheetId="75">'406'!$T$28</definedName>
    <definedName name="OSRRefT22_4x_0" localSheetId="76">'411'!$T$45:$T$46</definedName>
    <definedName name="OSRRefT22_4x_0" localSheetId="77">'412'!$T$46:$T$47</definedName>
    <definedName name="OSRRefT22_4x_0" localSheetId="78">'413'!$T$48</definedName>
    <definedName name="OSRRefT22_4x_0" localSheetId="79">'414'!$T$50</definedName>
    <definedName name="OSRRefT22_4x_0" localSheetId="80">'415'!$T$52</definedName>
    <definedName name="OSRRefT22_4x_0" localSheetId="81">'418'!$T$48:$T$49</definedName>
    <definedName name="OSRRefT22_4x_0" localSheetId="83">'423'!$T$45</definedName>
    <definedName name="OSRRefT22_4x_0" localSheetId="85">'425'!$T$33:$T$34</definedName>
    <definedName name="OSRRefT22_4x_0" localSheetId="88">'430'!$T$45:$T$47</definedName>
    <definedName name="OSRRefT22_4x_0" localSheetId="89">'433'!$T$53</definedName>
    <definedName name="OSRRefT22_4x_0" localSheetId="91">'444'!$T$53</definedName>
    <definedName name="OSRRefT22_4x_0" localSheetId="92">'450'!$T$49</definedName>
    <definedName name="OSRRefT22_4x_0" localSheetId="73">'491'!$T$55</definedName>
    <definedName name="OSRRefT22_4x_0" localSheetId="87">'492'!$T$53</definedName>
    <definedName name="OSRRefT22_4x_0" localSheetId="94">'501'!$T$47</definedName>
    <definedName name="OSRRefT22_4x_0" localSheetId="39">'Div 2'!$T$48</definedName>
    <definedName name="OSRRefT22_4x_0" localSheetId="47">'Div 3'!$T$155</definedName>
    <definedName name="OSRRefT22_4x_0" localSheetId="71">'Div 4'!$T$58</definedName>
    <definedName name="OSRRefT22_4x_0" localSheetId="93">'Div 5'!$T$47</definedName>
    <definedName name="OSRRefT22_4x_0" localSheetId="62">'Div 6'!$T$79</definedName>
    <definedName name="OSRRefT22_4x_0" localSheetId="2">Summary!$T$185</definedName>
    <definedName name="OSRRefT22_5x_0" localSheetId="41">'201'!$T$49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'205'!$T$49</definedName>
    <definedName name="OSRRefT22_5x_0" localSheetId="46">'206'!$T$47</definedName>
    <definedName name="OSRRefT22_5x_0" localSheetId="48">'300'!$T$153:$T$154</definedName>
    <definedName name="OSRRefT22_5x_0" localSheetId="49">'300 &amp; 317'!$T$177:$T$178</definedName>
    <definedName name="OSRRefT22_5x_0" localSheetId="50">'301'!$T$50:$T$51</definedName>
    <definedName name="OSRRefT22_5x_0" localSheetId="51">'306'!$T$47</definedName>
    <definedName name="OSRRefT22_5x_0" localSheetId="53">'307'!$T$65:$T$66</definedName>
    <definedName name="OSRRefT22_5x_0" localSheetId="54">'308'!$T$88</definedName>
    <definedName name="OSRRefT22_5x_0" localSheetId="65">'309'!$T$48</definedName>
    <definedName name="OSRRefT22_5x_0" localSheetId="64">'310'!$T$58:$T$59</definedName>
    <definedName name="OSRRefT22_5x_0" localSheetId="72">'310 &amp; 491'!$T$63:$T$65</definedName>
    <definedName name="OSRRefT22_5x_0" localSheetId="55">'311'!$T$87</definedName>
    <definedName name="OSRRefT22_5x_0" localSheetId="66">'313'!$T$54</definedName>
    <definedName name="OSRRefT22_5x_0" localSheetId="58">'315'!$T$108:$T$109</definedName>
    <definedName name="OSRRefT22_5x_0" localSheetId="61">'316'!$T$59</definedName>
    <definedName name="OSRRefT22_5x_0" localSheetId="63">'317'!$T$81</definedName>
    <definedName name="OSRRefT22_5x_0" localSheetId="67">'321'!$T$53</definedName>
    <definedName name="OSRRefT22_5x_0" localSheetId="68">'322'!$T$49</definedName>
    <definedName name="OSRRefT22_5x_0" localSheetId="69">'325'!$T$51:$T$52</definedName>
    <definedName name="OSRRefT22_5x_0" localSheetId="59">'326'!$T$75</definedName>
    <definedName name="OSRRefT22_5x_0" localSheetId="52">'330'!$T$69:$T$70</definedName>
    <definedName name="OSRRefT22_5x_0" localSheetId="57">'331'!$T$109:$T$110</definedName>
    <definedName name="OSRRefT22_5x_0" localSheetId="60">'332'!$T$61</definedName>
    <definedName name="OSRRefT22_5x_0" localSheetId="74">'405'!$T$51</definedName>
    <definedName name="OSRRefT22_5x_0" localSheetId="76">'411'!$T$48</definedName>
    <definedName name="OSRRefT22_5x_0" localSheetId="77">'412'!$T$49</definedName>
    <definedName name="OSRRefT22_5x_0" localSheetId="78">'413'!$T$50</definedName>
    <definedName name="OSRRefT22_5x_0" localSheetId="79">'414'!$T$52</definedName>
    <definedName name="OSRRefT22_5x_0" localSheetId="80">'415'!$T$54:$T$55</definedName>
    <definedName name="OSRRefT22_5x_0" localSheetId="81">'418'!$T$51</definedName>
    <definedName name="OSRRefT22_5x_0" localSheetId="83">'423'!$T$47</definedName>
    <definedName name="OSRRefT22_5x_0" localSheetId="85">'425'!$T$36</definedName>
    <definedName name="OSRRefT22_5x_0" localSheetId="88">'430'!$T$49:$T$50</definedName>
    <definedName name="OSRRefT22_5x_0" localSheetId="89">'433'!$T$55</definedName>
    <definedName name="OSRRefT22_5x_0" localSheetId="91">'444'!$T$55</definedName>
    <definedName name="OSRRefT22_5x_0" localSheetId="92">'450'!$T$51</definedName>
    <definedName name="OSRRefT22_5x_0" localSheetId="73">'491'!$T$57:$T$59</definedName>
    <definedName name="OSRRefT22_5x_0" localSheetId="87">'492'!$T$55</definedName>
    <definedName name="OSRRefT22_5x_0" localSheetId="94">'501'!$T$49:$T$50</definedName>
    <definedName name="OSRRefT22_5x_0" localSheetId="39">'Div 2'!$T$50:$T$51</definedName>
    <definedName name="OSRRefT22_5x_0" localSheetId="47">'Div 3'!$T$157:$T$158</definedName>
    <definedName name="OSRRefT22_5x_0" localSheetId="71">'Div 4'!$T$60:$T$62</definedName>
    <definedName name="OSRRefT22_5x_0" localSheetId="93">'Div 5'!$T$49:$T$50</definedName>
    <definedName name="OSRRefT22_5x_0" localSheetId="62">'Div 6'!$T$81</definedName>
    <definedName name="OSRRefT22_5x_0" localSheetId="2">Summary!$T$187:$T$189</definedName>
    <definedName name="OSRRefT22_6x_0" localSheetId="41">'201'!$T$51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'205'!$T$51:$T$53</definedName>
    <definedName name="OSRRefT22_6x_0" localSheetId="46">'206'!$T$49</definedName>
    <definedName name="OSRRefT22_6x_0" localSheetId="48">'300'!$T$156:$T$157</definedName>
    <definedName name="OSRRefT22_6x_0" localSheetId="49">'300 &amp; 317'!$T$180:$T$181</definedName>
    <definedName name="OSRRefT22_6x_0" localSheetId="50">'301'!$T$53</definedName>
    <definedName name="OSRRefT22_6x_0" localSheetId="51">'306'!$T$49:$T$50</definedName>
    <definedName name="OSRRefT22_6x_0" localSheetId="53">'307'!$T$68</definedName>
    <definedName name="OSRRefT22_6x_0" localSheetId="54">'308'!$T$90:$T$91</definedName>
    <definedName name="OSRRefT22_6x_0" localSheetId="65">'309'!$T$50</definedName>
    <definedName name="OSRRefT22_6x_0" localSheetId="64">'310'!$T$61</definedName>
    <definedName name="OSRRefT22_6x_0" localSheetId="72">'310 &amp; 491'!$T$67</definedName>
    <definedName name="OSRRefT22_6x_0" localSheetId="55">'311'!$T$89:$T$90</definedName>
    <definedName name="OSRRefT22_6x_0" localSheetId="66">'313'!$T$56:$T$57</definedName>
    <definedName name="OSRRefT22_6x_0" localSheetId="58">'315'!$T$111</definedName>
    <definedName name="OSRRefT22_6x_0" localSheetId="61">'316'!$T$61:$T$62</definedName>
    <definedName name="OSRRefT22_6x_0" localSheetId="63">'317'!$T$83:$T$84</definedName>
    <definedName name="OSRRefT22_6x_0" localSheetId="67">'321'!$T$55</definedName>
    <definedName name="OSRRefT22_6x_0" localSheetId="68">'322'!$T$51</definedName>
    <definedName name="OSRRefT22_6x_0" localSheetId="69">'325'!$T$54</definedName>
    <definedName name="OSRRefT22_6x_0" localSheetId="59">'326'!$T$77</definedName>
    <definedName name="OSRRefT22_6x_0" localSheetId="52">'330'!$T$72</definedName>
    <definedName name="OSRRefT22_6x_0" localSheetId="57">'331'!$T$112</definedName>
    <definedName name="OSRRefT22_6x_0" localSheetId="60">'332'!$T$63:$T$64</definedName>
    <definedName name="OSRRefT22_6x_0" localSheetId="74">'405'!$T$53</definedName>
    <definedName name="OSRRefT22_6x_0" localSheetId="76">'411'!$T$50</definedName>
    <definedName name="OSRRefT22_6x_0" localSheetId="77">'412'!$T$51</definedName>
    <definedName name="OSRRefT22_6x_0" localSheetId="78">'413'!$T$52</definedName>
    <definedName name="OSRRefT22_6x_0" localSheetId="79">'414'!$T$54</definedName>
    <definedName name="OSRRefT22_6x_0" localSheetId="80">'415'!$T$57</definedName>
    <definedName name="OSRRefT22_6x_0" localSheetId="81">'418'!$T$53</definedName>
    <definedName name="OSRRefT22_6x_0" localSheetId="83">'423'!$T$49</definedName>
    <definedName name="OSRRefT22_6x_0" localSheetId="88">'430'!$T$52</definedName>
    <definedName name="OSRRefT22_6x_0" localSheetId="89">'433'!$T$57</definedName>
    <definedName name="OSRRefT22_6x_0" localSheetId="91">'444'!$T$57</definedName>
    <definedName name="OSRRefT22_6x_0" localSheetId="92">'450'!$T$53</definedName>
    <definedName name="OSRRefT22_6x_0" localSheetId="73">'491'!$T$61</definedName>
    <definedName name="OSRRefT22_6x_0" localSheetId="87">'492'!$T$57</definedName>
    <definedName name="OSRRefT22_6x_0" localSheetId="94">'501'!$T$52</definedName>
    <definedName name="OSRRefT22_6x_0" localSheetId="39">'Div 2'!$T$53:$T$54</definedName>
    <definedName name="OSRRefT22_6x_0" localSheetId="47">'Div 3'!$T$160:$T$161</definedName>
    <definedName name="OSRRefT22_6x_0" localSheetId="71">'Div 4'!$T$64</definedName>
    <definedName name="OSRRefT22_6x_0" localSheetId="93">'Div 5'!$T$52</definedName>
    <definedName name="OSRRefT22_6x_0" localSheetId="62">'Div 6'!$T$83:$T$84</definedName>
    <definedName name="OSRRefT22_6x_0" localSheetId="2">Summary!$T$191:$T$192</definedName>
    <definedName name="OSRRefT22_7x_0" localSheetId="41">'201'!$T$53</definedName>
    <definedName name="OSRRefT22_7x_0" localSheetId="42">'202'!$T$53:$T$55</definedName>
    <definedName name="OSRRefT22_7x_0" localSheetId="43">'203'!$T$52:$T$53</definedName>
    <definedName name="OSRRefT22_7x_0" localSheetId="44">'204'!$T$53:$T$55</definedName>
    <definedName name="OSRRefT22_7x_0" localSheetId="45">'205'!$T$55</definedName>
    <definedName name="OSRRefT22_7x_0" localSheetId="46">'206'!$T$51</definedName>
    <definedName name="OSRRefT22_7x_0" localSheetId="48">'300'!$T$159:$T$160</definedName>
    <definedName name="OSRRefT22_7x_0" localSheetId="49">'300 &amp; 317'!$T$183:$T$184</definedName>
    <definedName name="OSRRefT22_7x_0" localSheetId="50">'301'!$T$55</definedName>
    <definedName name="OSRRefT22_7x_0" localSheetId="51">'306'!$T$52:$T$53</definedName>
    <definedName name="OSRRefT22_7x_0" localSheetId="53">'307'!$T$70</definedName>
    <definedName name="OSRRefT22_7x_0" localSheetId="54">'308'!$T$93:$T$94</definedName>
    <definedName name="OSRRefT22_7x_0" localSheetId="65">'309'!$T$52:$T$53</definedName>
    <definedName name="OSRRefT22_7x_0" localSheetId="64">'310'!$T$63</definedName>
    <definedName name="OSRRefT22_7x_0" localSheetId="72">'310 &amp; 491'!$T$69</definedName>
    <definedName name="OSRRefT22_7x_0" localSheetId="55">'311'!$T$92:$T$93</definedName>
    <definedName name="OSRRefT22_7x_0" localSheetId="66">'313'!$T$59</definedName>
    <definedName name="OSRRefT22_7x_0" localSheetId="58">'315'!$T$113:$T$114</definedName>
    <definedName name="OSRRefT22_7x_0" localSheetId="61">'316'!$T$64:$T$66</definedName>
    <definedName name="OSRRefT22_7x_0" localSheetId="63">'317'!$T$86</definedName>
    <definedName name="OSRRefT22_7x_0" localSheetId="67">'321'!$T$57:$T$58</definedName>
    <definedName name="OSRRefT22_7x_0" localSheetId="68">'322'!$T$53:$T$54</definedName>
    <definedName name="OSRRefT22_7x_0" localSheetId="69">'325'!$T$56</definedName>
    <definedName name="OSRRefT22_7x_0" localSheetId="59">'326'!$T$79</definedName>
    <definedName name="OSRRefT22_7x_0" localSheetId="52">'330'!$T$74</definedName>
    <definedName name="OSRRefT22_7x_0" localSheetId="57">'331'!$T$114</definedName>
    <definedName name="OSRRefT22_7x_0" localSheetId="60">'332'!$T$66:$T$68</definedName>
    <definedName name="OSRRefT22_7x_0" localSheetId="74">'405'!$T$55</definedName>
    <definedName name="OSRRefT22_7x_0" localSheetId="76">'411'!$T$52</definedName>
    <definedName name="OSRRefT22_7x_0" localSheetId="77">'412'!$T$53</definedName>
    <definedName name="OSRRefT22_7x_0" localSheetId="78">'413'!$T$54</definedName>
    <definedName name="OSRRefT22_7x_0" localSheetId="79">'414'!$T$56</definedName>
    <definedName name="OSRRefT22_7x_0" localSheetId="80">'415'!$T$59</definedName>
    <definedName name="OSRRefT22_7x_0" localSheetId="81">'418'!$T$55</definedName>
    <definedName name="OSRRefT22_7x_0" localSheetId="88">'430'!$T$54</definedName>
    <definedName name="OSRRefT22_7x_0" localSheetId="89">'433'!$T$59</definedName>
    <definedName name="OSRRefT22_7x_0" localSheetId="91">'444'!$T$59</definedName>
    <definedName name="OSRRefT22_7x_0" localSheetId="92">'450'!$T$55</definedName>
    <definedName name="OSRRefT22_7x_0" localSheetId="73">'491'!$T$63</definedName>
    <definedName name="OSRRefT22_7x_0" localSheetId="87">'492'!$T$59</definedName>
    <definedName name="OSRRefT22_7x_0" localSheetId="94">'501'!$T$54</definedName>
    <definedName name="OSRRefT22_7x_0" localSheetId="39">'Div 2'!$T$56</definedName>
    <definedName name="OSRRefT22_7x_0" localSheetId="47">'Div 3'!$T$163:$T$164</definedName>
    <definedName name="OSRRefT22_7x_0" localSheetId="71">'Div 4'!$T$66</definedName>
    <definedName name="OSRRefT22_7x_0" localSheetId="93">'Div 5'!$T$54</definedName>
    <definedName name="OSRRefT22_7x_0" localSheetId="62">'Div 6'!$T$86</definedName>
    <definedName name="OSRRefT22_7x_0" localSheetId="2">Summary!$T$194:$T$195</definedName>
    <definedName name="OSRRefT22_8x_0" localSheetId="41">'201'!$T$55</definedName>
    <definedName name="OSRRefT22_8x_0" localSheetId="42">'202'!$T$57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'300'!$T$162</definedName>
    <definedName name="OSRRefT22_8x_0" localSheetId="49">'300 &amp; 317'!$T$186</definedName>
    <definedName name="OSRRefT22_8x_0" localSheetId="50">'301'!$T$57</definedName>
    <definedName name="OSRRefT22_8x_0" localSheetId="51">'306'!$T$55</definedName>
    <definedName name="OSRRefT22_8x_0" localSheetId="53">'307'!$T$72</definedName>
    <definedName name="OSRRefT22_8x_0" localSheetId="54">'308'!$T$96</definedName>
    <definedName name="OSRRefT22_8x_0" localSheetId="65">'309'!$T$55:$T$56</definedName>
    <definedName name="OSRRefT22_8x_0" localSheetId="64">'310'!$T$65</definedName>
    <definedName name="OSRRefT22_8x_0" localSheetId="72">'310 &amp; 491'!$T$71:$T$72</definedName>
    <definedName name="OSRRefT22_8x_0" localSheetId="55">'311'!$T$95</definedName>
    <definedName name="OSRRefT22_8x_0" localSheetId="66">'313'!$T$61:$T$63</definedName>
    <definedName name="OSRRefT22_8x_0" localSheetId="58">'315'!$T$116</definedName>
    <definedName name="OSRRefT22_8x_0" localSheetId="61">'316'!$T$68</definedName>
    <definedName name="OSRRefT22_8x_0" localSheetId="63">'317'!$T$88</definedName>
    <definedName name="OSRRefT22_8x_0" localSheetId="67">'321'!$T$60:$T$61</definedName>
    <definedName name="OSRRefT22_8x_0" localSheetId="68">'322'!$T$56:$T$57</definedName>
    <definedName name="OSRRefT22_8x_0" localSheetId="69">'325'!$T$58</definedName>
    <definedName name="OSRRefT22_8x_0" localSheetId="59">'326'!$T$81:$T$82</definedName>
    <definedName name="OSRRefT22_8x_0" localSheetId="52">'330'!$T$76</definedName>
    <definedName name="OSRRefT22_8x_0" localSheetId="57">'331'!$T$116:$T$117</definedName>
    <definedName name="OSRRefT22_8x_0" localSheetId="60">'332'!$T$70</definedName>
    <definedName name="OSRRefT22_8x_0" localSheetId="74">'405'!$T$57</definedName>
    <definedName name="OSRRefT22_8x_0" localSheetId="76">'411'!$T$54</definedName>
    <definedName name="OSRRefT22_8x_0" localSheetId="77">'412'!$T$55:$T$56</definedName>
    <definedName name="OSRRefT22_8x_0" localSheetId="78">'413'!$T$56:$T$59</definedName>
    <definedName name="OSRRefT22_8x_0" localSheetId="79">'414'!$T$58:$T$59</definedName>
    <definedName name="OSRRefT22_8x_0" localSheetId="80">'415'!$T$61</definedName>
    <definedName name="OSRRefT22_8x_0" localSheetId="81">'418'!$T$57:$T$59</definedName>
    <definedName name="OSRRefT22_8x_0" localSheetId="89">'433'!$T$61</definedName>
    <definedName name="OSRRefT22_8x_0" localSheetId="91">'444'!$T$61</definedName>
    <definedName name="OSRRefT22_8x_0" localSheetId="92">'450'!$T$57</definedName>
    <definedName name="OSRRefT22_8x_0" localSheetId="73">'491'!$T$65</definedName>
    <definedName name="OSRRefT22_8x_0" localSheetId="87">'492'!$T$61</definedName>
    <definedName name="OSRRefT22_8x_0" localSheetId="94">'501'!$T$56</definedName>
    <definedName name="OSRRefT22_8x_0" localSheetId="39">'Div 2'!$T$58</definedName>
    <definedName name="OSRRefT22_8x_0" localSheetId="47">'Div 3'!$T$166</definedName>
    <definedName name="OSRRefT22_8x_0" localSheetId="71">'Div 4'!$T$68</definedName>
    <definedName name="OSRRefT22_8x_0" localSheetId="93">'Div 5'!$T$56</definedName>
    <definedName name="OSRRefT22_8x_0" localSheetId="62">'Div 6'!$T$88</definedName>
    <definedName name="OSRRefT22_8x_0" localSheetId="2">Summary!$T$197</definedName>
    <definedName name="OSRRefT22_9x_0" localSheetId="41">'201'!$T$57</definedName>
    <definedName name="OSRRefT22_9x_0" localSheetId="42">'202'!$T$59:$T$61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'300'!$T$164</definedName>
    <definedName name="OSRRefT22_9x_0" localSheetId="49">'300 &amp; 317'!$T$188</definedName>
    <definedName name="OSRRefT22_9x_0" localSheetId="50">'301'!$T$59</definedName>
    <definedName name="OSRRefT22_9x_0" localSheetId="51">'306'!$T$57</definedName>
    <definedName name="OSRRefT22_9x_0" localSheetId="53">'307'!$T$74:$T$75</definedName>
    <definedName name="OSRRefT22_9x_0" localSheetId="54">'308'!$T$98:$T$99</definedName>
    <definedName name="OSRRefT22_9x_0" localSheetId="65">'309'!$T$58:$T$60</definedName>
    <definedName name="OSRRefT22_9x_0" localSheetId="64">'310'!$T$67</definedName>
    <definedName name="OSRRefT22_9x_0" localSheetId="72">'310 &amp; 491'!$T$74</definedName>
    <definedName name="OSRRefT22_9x_0" localSheetId="55">'311'!$T$97:$T$98</definedName>
    <definedName name="OSRRefT22_9x_0" localSheetId="66">'313'!$T$65:$T$66</definedName>
    <definedName name="OSRRefT22_9x_0" localSheetId="58">'315'!$T$118:$T$119</definedName>
    <definedName name="OSRRefT22_9x_0" localSheetId="61">'316'!$T$70:$T$74</definedName>
    <definedName name="OSRRefT22_9x_0" localSheetId="63">'317'!$T$90:$T$91</definedName>
    <definedName name="OSRRefT22_9x_0" localSheetId="67">'321'!$T$63:$T$64</definedName>
    <definedName name="OSRRefT22_9x_0" localSheetId="68">'322'!$T$59:$T$62</definedName>
    <definedName name="OSRRefT22_9x_0" localSheetId="69">'325'!$T$60</definedName>
    <definedName name="OSRRefT22_9x_0" localSheetId="59">'326'!$T$84</definedName>
    <definedName name="OSRRefT22_9x_0" localSheetId="52">'330'!$T$78:$T$79</definedName>
    <definedName name="OSRRefT22_9x_0" localSheetId="57">'331'!$T$119:$T$120</definedName>
    <definedName name="OSRRefT22_9x_0" localSheetId="60">'332'!$T$72:$T$76</definedName>
    <definedName name="OSRRefT22_9x_0" localSheetId="74">'405'!$T$59:$T$60</definedName>
    <definedName name="OSRRefT22_9x_0" localSheetId="76">'411'!$T$56:$T$59</definedName>
    <definedName name="OSRRefT22_9x_0" localSheetId="77">'412'!$T$58</definedName>
    <definedName name="OSRRefT22_9x_0" localSheetId="78">'413'!$T$61:$T$62</definedName>
    <definedName name="OSRRefT22_9x_0" localSheetId="79">'414'!$T$61</definedName>
    <definedName name="OSRRefT22_9x_0" localSheetId="80">'415'!$T$63</definedName>
    <definedName name="OSRRefT22_9x_0" localSheetId="81">'418'!$T$61:$T$62</definedName>
    <definedName name="OSRRefT22_9x_0" localSheetId="89">'433'!$T$63</definedName>
    <definedName name="OSRRefT22_9x_0" localSheetId="91">'444'!$T$63</definedName>
    <definedName name="OSRRefT22_9x_0" localSheetId="92">'450'!$T$59</definedName>
    <definedName name="OSRRefT22_9x_0" localSheetId="73">'491'!$T$67</definedName>
    <definedName name="OSRRefT22_9x_0" localSheetId="87">'492'!$T$63</definedName>
    <definedName name="OSRRefT22_9x_0" localSheetId="94">'501'!$T$58:$T$61</definedName>
    <definedName name="OSRRefT22_9x_0" localSheetId="39">'Div 2'!$T$60:$T$61</definedName>
    <definedName name="OSRRefT22_9x_0" localSheetId="47">'Div 3'!$T$168</definedName>
    <definedName name="OSRRefT22_9x_0" localSheetId="71">'Div 4'!$T$70</definedName>
    <definedName name="OSRRefT22_9x_0" localSheetId="93">'Div 5'!$T$58:$T$61</definedName>
    <definedName name="OSRRefT22_9x_0" localSheetId="62">'Div 6'!$T$90:$T$91</definedName>
    <definedName name="OSRRefT22_9x_0" localSheetId="2">Summary!$T$199</definedName>
    <definedName name="OSRRefT22x_0" localSheetId="40">'200'!$T$20,'200'!$T$22,'200'!$T$24,'200'!$T$26,'200'!$T$28:$T$29</definedName>
    <definedName name="OSRRefT22x_0" localSheetId="41">'201'!$T$21:$T$29,'201'!$T$31:$T$40,'201'!$T$42,'201'!$T$44,'201'!$T$46:$T$47,'201'!$T$49,'201'!$T$51,'201'!$T$53,'201'!$T$55,'201'!$T$57,'201'!$T$59:$T$61,'201'!$T$63:$T$64,'201'!$T$66,'201'!$T$68:$T$70,'201'!$T$72,'201'!$T$74,'201'!$T$76</definedName>
    <definedName name="OSRRefT22x_0" localSheetId="42">'202'!$T$21:$T$29,'202'!$T$31:$T$40,'202'!$T$42,'202'!$T$44,'202'!$T$46:$T$47,'202'!$T$49,'202'!$T$51,'202'!$T$53:$T$55,'202'!$T$57,'202'!$T$59:$T$61,'202'!$T$63,'202'!$T$65,'202'!$T$67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'205'!$T$20:$T$28,'205'!$T$30:$T$39,'205'!$T$41,'205'!$T$43,'205'!$T$45:$T$47,'205'!$T$49,'205'!$T$51:$T$53,'205'!$T$55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$124:$T$133,'300'!$T$135:$T$144,'300'!$T$146,'300'!$T$148:$T$149,'300'!$T$151,'300'!$T$153:$T$154,'300'!$T$156:$T$157,'300'!$T$159:$T$160,'300'!$T$162,'300'!$T$164,'300'!$T$166:$T$167,'300'!$T$169:$T$171,'300'!$T$173,'300'!$T$175:$T$176,'300'!$T$178,'300'!$T$180,'300'!$T$182:$T$185,'300'!$T$187:$T$190,'300'!$T$192:$T$195,'300'!$T$197:$T$198,'300'!$T$200:$T$208,'300'!$T$210:$T$211,'300'!$T$213,'300'!$T$215:$T$217,'300'!$T$219</definedName>
    <definedName name="OSRRefT22x_0" localSheetId="49">'300 &amp; 317'!$T$148:$T$157,'300 &amp; 317'!$T$159:$T$168,'300 &amp; 317'!$T$170,'300 &amp; 317'!$T$172:$T$173,'300 &amp; 317'!$T$175,'300 &amp; 317'!$T$177:$T$178,'300 &amp; 317'!$T$180:$T$181,'300 &amp; 317'!$T$183:$T$184,'300 &amp; 317'!$T$186,'300 &amp; 317'!$T$188,'300 &amp; 317'!$T$190:$T$191,'300 &amp; 317'!$T$193:$T$195,'300 &amp; 317'!$T$197,'300 &amp; 317'!$T$199:$T$200,'300 &amp; 317'!$T$202,'300 &amp; 317'!$T$204,'300 &amp; 317'!$T$206:$T$209,'300 &amp; 317'!$T$211:$T$214,'300 &amp; 317'!$T$216:$T$219,'300 &amp; 317'!$T$221:$T$222,'300 &amp; 317'!$T$224:$T$232,'300 &amp; 317'!$T$234:$T$235,'300 &amp; 317'!$T$237,'300 &amp; 317'!$T$239:$T$241,'300 &amp; 317'!$T$243</definedName>
    <definedName name="OSRRefT22x_0" localSheetId="50">'301'!$T$21:$T$30,'301'!$T$32:$T$41,'301'!$T$43,'301'!$T$45:$T$46,'301'!$T$48,'301'!$T$50:$T$51,'301'!$T$53,'301'!$T$55,'301'!$T$57,'301'!$T$59,'301'!$T$61,'301'!$T$63,'301'!$T$65,'301'!$T$67,'301'!$T$69,'301'!$T$71:$T$74,'301'!$T$76:$T$78,'301'!$T$80,'301'!$T$82:$T$88,'301'!$T$90,'301'!$T$92,'301'!$T$94:$T$95,'301'!$T$97</definedName>
    <definedName name="OSRRefT22x_0" localSheetId="51">'306'!$T$20:$T$28,'306'!$T$30:$T$39,'306'!$T$41,'306'!$T$43,'306'!$T$45,'306'!$T$47,'306'!$T$49:$T$50,'306'!$T$52:$T$53,'306'!$T$55,'306'!$T$57,'306'!$T$59</definedName>
    <definedName name="OSRRefT22x_0" localSheetId="53">'307'!$T$39:$T$46,'307'!$T$48:$T$57,'307'!$T$59,'307'!$T$61,'307'!$T$63,'307'!$T$65:$T$66,'307'!$T$68,'307'!$T$70,'307'!$T$72,'307'!$T$74:$T$75,'307'!$T$77:$T$78,'307'!$T$80:$T$83,'307'!$T$85:$T$86,'307'!$T$88</definedName>
    <definedName name="OSRRefT22x_0" localSheetId="54">'308'!$T$59:$T$68,'308'!$T$70:$T$79,'308'!$T$81,'308'!$T$83:$T$84,'308'!$T$86,'308'!$T$88,'308'!$T$90:$T$91,'308'!$T$93:$T$94,'308'!$T$96,'308'!$T$98:$T$99,'308'!$T$101:$T$102,'308'!$T$104:$T$106,'308'!$T$108:$T$109,'308'!$T$111,'308'!$T$113</definedName>
    <definedName name="OSRRefT22x_0" localSheetId="65">'309'!$T$22:$T$29,'309'!$T$31:$T$40,'309'!$T$42,'309'!$T$44,'309'!$T$46,'309'!$T$48,'309'!$T$50,'309'!$T$52:$T$53,'309'!$T$55:$T$56,'309'!$T$58:$T$60,'309'!$T$62</definedName>
    <definedName name="OSRRefT22x_0" localSheetId="64">'310'!$T$31:$T$39,'310'!$T$41:$T$50,'310'!$T$52,'310'!$T$54,'310'!$T$56,'310'!$T$58:$T$59,'310'!$T$61,'310'!$T$63,'310'!$T$65,'310'!$T$67,'310'!$T$69,'310'!$T$71,'310'!$T$73,'310'!$T$75:$T$78,'310'!$T$80:$T$81,'310'!$T$83:$T$86,'310'!$T$88,'310'!$T$90:$T$96,'310'!$T$98:$T$99,'310'!$T$101,'310'!$T$103,'310'!$T$105</definedName>
    <definedName name="OSRRefT22x_0" localSheetId="72">'310 &amp; 491'!$T$36:$T$44,'310 &amp; 491'!$T$46:$T$55,'310 &amp; 491'!$T$57,'310 &amp; 491'!$T$59,'310 &amp; 491'!$T$61,'310 &amp; 491'!$T$63:$T$65,'310 &amp; 491'!$T$67,'310 &amp; 491'!$T$69,'310 &amp; 491'!$T$71:$T$72,'310 &amp; 491'!$T$74,'310 &amp; 491'!$T$76,'310 &amp; 491'!$T$78,'310 &amp; 491'!$T$80,'310 &amp; 491'!$T$82:$T$85,'310 &amp; 491'!$T$87:$T$88,'310 &amp; 491'!$T$90:$T$94,'310 &amp; 491'!$T$96:$T$97,'310 &amp; 491'!$T$99:$T$109,'310 &amp; 491'!$T$111:$T$112,'310 &amp; 491'!$T$114,'310 &amp; 491'!$T$116:$T$118,'310 &amp; 491'!$T$120</definedName>
    <definedName name="OSRRefT22x_0" localSheetId="55">'311'!$T$58:$T$67,'311'!$T$69:$T$78,'311'!$T$80,'311'!$T$82:$T$83,'311'!$T$85,'311'!$T$87,'311'!$T$89:$T$90,'311'!$T$92:$T$93,'311'!$T$95,'311'!$T$97:$T$98,'311'!$T$100:$T$101,'311'!$T$103:$T$105,'311'!$T$107:$T$108,'311'!$T$110,'311'!$T$112</definedName>
    <definedName name="OSRRefT22x_0" localSheetId="66">'313'!$T$27:$T$35,'313'!$T$37:$T$46,'313'!$T$48,'313'!$T$50,'313'!$T$52,'313'!$T$54,'313'!$T$56:$T$57,'313'!$T$59,'313'!$T$61:$T$63,'313'!$T$65:$T$66,'313'!$T$68,'313'!$T$70</definedName>
    <definedName name="OSRRefT22x_0" localSheetId="58">'315'!$T$81:$T$89,'315'!$T$91:$T$100,'315'!$T$102,'315'!$T$104,'315'!$T$106,'315'!$T$108:$T$109,'315'!$T$111,'315'!$T$113:$T$114,'315'!$T$116,'315'!$T$118:$T$119,'315'!$T$121,'315'!$T$123,'315'!$T$125:$T$127,'315'!$T$129:$T$130,'315'!$T$132:$T$138,'315'!$T$140,'315'!$T$142,'315'!$T$144:$T$145</definedName>
    <definedName name="OSRRefT22x_0" localSheetId="61">'316'!$T$32:$T$40,'316'!$T$42:$T$51,'316'!$T$53,'316'!$T$55,'316'!$T$57,'316'!$T$59,'316'!$T$61:$T$62,'316'!$T$64:$T$66,'316'!$T$68,'316'!$T$70:$T$74,'316'!$T$76,'316'!$T$78</definedName>
    <definedName name="OSRRefT22x_0" localSheetId="63">'317'!$T$53:$T$62,'317'!$T$64:$T$73,'317'!$T$75,'317'!$T$77,'317'!$T$79,'317'!$T$81,'317'!$T$83:$T$84,'317'!$T$86,'317'!$T$88,'317'!$T$90:$T$91,'317'!$T$93,'317'!$T$95:$T$98,'317'!$T$100,'317'!$T$102</definedName>
    <definedName name="OSRRefT22x_0" localSheetId="67">'321'!$T$26:$T$34,'321'!$T$36:$T$45,'321'!$T$47,'321'!$T$49,'321'!$T$51,'321'!$T$53,'321'!$T$55,'321'!$T$57:$T$58,'321'!$T$60:$T$61,'321'!$T$63:$T$64,'321'!$T$66:$T$68,'321'!$T$70:$T$71,'321'!$T$73,'321'!$T$75</definedName>
    <definedName name="OSRRefT22x_0" localSheetId="68">'322'!$T$23:$T$30,'322'!$T$32:$T$41,'322'!$T$43,'322'!$T$45,'322'!$T$47,'322'!$T$49,'322'!$T$51,'322'!$T$53:$T$54,'322'!$T$56:$T$57,'322'!$T$59:$T$62,'322'!$T$64,'322'!$T$66</definedName>
    <definedName name="OSRRefT22x_0" localSheetId="56">'324'!$T$27:$T$34,'324'!$T$36:$T$45</definedName>
    <definedName name="OSRRefT22x_0" localSheetId="69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9">'326'!$T$48:$T$56,'326'!$T$58:$T$67,'326'!$T$69,'326'!$T$71,'326'!$T$73,'326'!$T$75,'326'!$T$77,'326'!$T$79,'326'!$T$81:$T$82,'326'!$T$84,'326'!$T$86,'326'!$T$88,'326'!$T$90,'326'!$T$92:$T$94,'326'!$T$96:$T$98,'326'!$T$100:$T$101,'326'!$T$103:$T$108,'326'!$T$110:$T$111,'326'!$T$113,'326'!$T$115:$T$116,'326'!$T$118</definedName>
    <definedName name="OSRRefT22x_0" localSheetId="70">'327'!$T$24,'327'!$T$26</definedName>
    <definedName name="OSRRefT22x_0" localSheetId="52">'330'!$T$42:$T$50,'330'!$T$52:$T$61,'330'!$T$63,'330'!$T$65,'330'!$T$67,'330'!$T$69:$T$70,'330'!$T$72,'330'!$T$74,'330'!$T$76,'330'!$T$78:$T$79,'330'!$T$81:$T$82,'330'!$T$84:$T$87,'330'!$T$89:$T$90,'330'!$T$92</definedName>
    <definedName name="OSRRefT22x_0" localSheetId="57">'331'!$T$82:$T$90,'331'!$T$92:$T$101,'331'!$T$103,'331'!$T$105,'331'!$T$107,'331'!$T$109:$T$110,'331'!$T$112,'331'!$T$114,'331'!$T$116:$T$117,'331'!$T$119:$T$120,'331'!$T$122,'331'!$T$124:$T$125,'331'!$T$127,'331'!$T$129,'331'!$T$131:$T$133,'331'!$T$135:$T$137,'331'!$T$139:$T$141,'331'!$T$143:$T$144,'331'!$T$146:$T$153,'331'!$T$155:$T$156,'331'!$T$158,'331'!$T$160:$T$161,'331'!$T$163</definedName>
    <definedName name="OSRRefT22x_0" localSheetId="60">'332'!$T$34:$T$42,'332'!$T$44:$T$53,'332'!$T$55,'332'!$T$57,'332'!$T$59,'332'!$T$61,'332'!$T$63:$T$64,'332'!$T$66:$T$68,'332'!$T$70,'332'!$T$72:$T$76,'332'!$T$78,'332'!$T$80</definedName>
    <definedName name="OSRRefT22x_0" localSheetId="74">'405'!$T$24:$T$31,'405'!$T$33:$T$42,'405'!$T$44,'405'!$T$46,'405'!$T$48:$T$49,'405'!$T$51,'405'!$T$53,'405'!$T$55,'405'!$T$57,'405'!$T$59:$T$60,'405'!$T$62,'405'!$T$64:$T$67,'405'!$T$69,'405'!$T$71:$T$79,'405'!$T$81,'405'!$T$83,'405'!$T$85,'405'!$T$87</definedName>
    <definedName name="OSRRefT22x_0" localSheetId="75">'406'!$T$20,'406'!$T$22,'406'!$T$24,'406'!$T$26,'406'!$T$28</definedName>
    <definedName name="OSRRefT22x_0" localSheetId="76">'411'!$T$20:$T$28,'411'!$T$30:$T$39,'411'!$T$41,'411'!$T$43,'411'!$T$45:$T$46,'411'!$T$48,'411'!$T$50,'411'!$T$52,'411'!$T$54,'411'!$T$56:$T$59,'411'!$T$61:$T$64,'411'!$T$66:$T$67,'411'!$T$69:$T$75,'411'!$T$77,'411'!$T$79,'411'!$T$81</definedName>
    <definedName name="OSRRefT22x_0" localSheetId="77">'412'!$T$22:$T$29,'412'!$T$31:$T$40,'412'!$T$42,'412'!$T$44,'412'!$T$46:$T$47,'412'!$T$49,'412'!$T$51,'412'!$T$53,'412'!$T$55:$T$56,'412'!$T$58,'412'!$T$60:$T$63,'412'!$T$65:$T$69,'412'!$T$71:$T$72,'412'!$T$74</definedName>
    <definedName name="OSRRefT22x_0" localSheetId="78">'413'!$T$23:$T$31,'413'!$T$33:$T$42,'413'!$T$44,'413'!$T$46,'413'!$T$48,'413'!$T$50,'413'!$T$52,'413'!$T$54,'413'!$T$56:$T$59,'413'!$T$61:$T$62,'413'!$T$64:$T$71,'413'!$T$73:$T$74,'413'!$T$76</definedName>
    <definedName name="OSRRefT22x_0" localSheetId="79">'414'!$T$25:$T$33,'414'!$T$35:$T$44,'414'!$T$46,'414'!$T$48,'414'!$T$50,'414'!$T$52,'414'!$T$54,'414'!$T$56,'414'!$T$58:$T$59,'414'!$T$61,'414'!$T$63,'414'!$T$65,'414'!$T$67:$T$69,'414'!$T$71,'414'!$T$73,'414'!$T$75</definedName>
    <definedName name="OSRRefT22x_0" localSheetId="80">'415'!$T$27:$T$35,'415'!$T$37:$T$46,'415'!$T$48,'415'!$T$50,'415'!$T$52,'415'!$T$54:$T$55,'415'!$T$57,'415'!$T$59,'415'!$T$61,'415'!$T$63,'415'!$T$65,'415'!$T$67:$T$68,'415'!$T$70:$T$74,'415'!$T$76,'415'!$T$78:$T$85,'415'!$T$87:$T$88,'415'!$T$90,'415'!$T$92:$T$93,'415'!$T$95</definedName>
    <definedName name="OSRRefT22x_0" localSheetId="81">'418'!$T$24:$T$31,'418'!$T$33:$T$42,'418'!$T$44,'418'!$T$46,'418'!$T$48:$T$49,'418'!$T$51,'418'!$T$53,'418'!$T$55,'418'!$T$57:$T$59,'418'!$T$61:$T$62,'418'!$T$64:$T$65,'418'!$T$67:$T$76,'418'!$T$78:$T$79,'418'!$T$81</definedName>
    <definedName name="OSRRefT22x_0" localSheetId="82">'420'!$T$22,'420'!$T$24</definedName>
    <definedName name="OSRRefT22x_0" localSheetId="83">'423'!$T$20:$T$27,'423'!$T$29:$T$38,'423'!$T$40,'423'!$T$42:$T$43,'423'!$T$45,'423'!$T$47,'423'!$T$49</definedName>
    <definedName name="OSRRefT22x_0" localSheetId="84">'424'!$T$20,'424'!$T$22,'424'!$T$24,'424'!$T$26</definedName>
    <definedName name="OSRRefT22x_0" localSheetId="85">'425'!$T$21:$T$25,'425'!$T$27,'425'!$T$29,'425'!$T$31,'425'!$T$33:$T$34,'425'!$T$36</definedName>
    <definedName name="OSRRefT22x_0" localSheetId="88">'430'!$T$20:$T$28,'430'!$T$30:$T$39,'430'!$T$41,'430'!$T$43,'430'!$T$45:$T$47,'430'!$T$49:$T$50,'430'!$T$52,'430'!$T$54</definedName>
    <definedName name="OSRRefT22x_0" localSheetId="89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90">'435'!$T$20</definedName>
    <definedName name="OSRRefT22x_0" localSheetId="91">'444'!$T$27:$T$36,'444'!$T$38:$T$47,'444'!$T$49,'444'!$T$51,'444'!$T$53,'444'!$T$55,'444'!$T$57,'444'!$T$59,'444'!$T$61,'444'!$T$63,'444'!$T$65,'444'!$T$67:$T$70,'444'!$T$72:$T$75,'444'!$T$77,'444'!$T$79:$T$87,'444'!$T$89:$T$90,'444'!$T$92,'444'!$T$94</definedName>
    <definedName name="OSRRefT22x_0" localSheetId="92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3">'491'!$T$30:$T$38,'491'!$T$40:$T$49,'491'!$T$51,'491'!$T$53,'491'!$T$55,'491'!$T$57:$T$59,'491'!$T$61,'491'!$T$63,'491'!$T$65,'491'!$T$67,'491'!$T$69,'491'!$T$71,'491'!$T$73,'491'!$T$75:$T$78,'491'!$T$80:$T$81,'491'!$T$83:$T$87,'491'!$T$89:$T$90,'491'!$T$92:$T$102,'491'!$T$104:$T$105,'491'!$T$107,'491'!$T$109:$T$111,'491'!$T$113</definedName>
    <definedName name="OSRRefT22x_0" localSheetId="87">'492'!$T$27:$T$36,'492'!$T$38:$T$47,'492'!$T$49,'492'!$T$51,'492'!$T$53,'492'!$T$55,'492'!$T$57,'492'!$T$59,'492'!$T$61,'492'!$T$63,'492'!$T$65,'492'!$T$67,'492'!$T$69:$T$72,'492'!$T$74:$T$77,'492'!$T$79,'492'!$T$81:$T$90,'492'!$T$92:$T$93,'492'!$T$95,'492'!$T$97:$T$98</definedName>
    <definedName name="OSRRefT22x_0" localSheetId="94">'501'!$T$21:$T$30,'501'!$T$32:$T$41,'501'!$T$43,'501'!$T$45,'501'!$T$47,'501'!$T$49:$T$50,'501'!$T$52,'501'!$T$54,'501'!$T$56,'501'!$T$58:$T$61,'501'!$T$63,'501'!$T$65:$T$66,'501'!$T$68,'501'!$T$70</definedName>
    <definedName name="OSRRefT22x_0" localSheetId="39">'Div 2'!$T$21:$T$31,'Div 2'!$T$33:$T$42,'Div 2'!$T$44,'Div 2'!$T$46,'Div 2'!$T$48,'Div 2'!$T$50:$T$51,'Div 2'!$T$53:$T$54,'Div 2'!$T$56,'Div 2'!$T$58,'Div 2'!$T$60:$T$61,'Div 2'!$T$63,'Div 2'!$T$65:$T$66,'Div 2'!$T$68:$T$71,'Div 2'!$T$73:$T$76,'Div 2'!$T$78:$T$79,'Div 2'!$T$81:$T$82,'Div 2'!$T$84:$T$88,'Div 2'!$T$90:$T$91,'Div 2'!$T$93,'Div 2'!$T$95:$T$96</definedName>
    <definedName name="OSRRefT22x_0" localSheetId="47">'Div 3'!$T$128:$T$137,'Div 3'!$T$139:$T$148,'Div 3'!$T$150,'Div 3'!$T$152:$T$153,'Div 3'!$T$155,'Div 3'!$T$157:$T$158,'Div 3'!$T$160:$T$161,'Div 3'!$T$163:$T$164,'Div 3'!$T$166,'Div 3'!$T$168,'Div 3'!$T$170:$T$171,'Div 3'!$T$173:$T$175,'Div 3'!$T$177,'Div 3'!$T$179,'Div 3'!$T$181:$T$182,'Div 3'!$T$184,'Div 3'!$T$186,'Div 3'!$T$188:$T$191,'Div 3'!$T$193:$T$196,'Div 3'!$T$198:$T$202,'Div 3'!$T$204:$T$205,'Div 3'!$T$207:$T$215,'Div 3'!$T$217:$T$218,'Div 3'!$T$220,'Div 3'!$T$222:$T$224,'Div 3'!$T$226</definedName>
    <definedName name="OSRRefT22x_0" localSheetId="71">'Div 4'!$T$32:$T$41,'Div 4'!$T$43:$T$52,'Div 4'!$T$54,'Div 4'!$T$56,'Div 4'!$T$58,'Div 4'!$T$60:$T$62,'Div 4'!$T$64,'Div 4'!$T$66,'Div 4'!$T$68,'Div 4'!$T$70,'Div 4'!$T$72,'Div 4'!$T$74,'Div 4'!$T$76,'Div 4'!$T$78,'Div 4'!$T$80,'Div 4'!$T$82:$T$85,'Div 4'!$T$87:$T$88,'Div 4'!$T$90:$T$94,'Div 4'!$T$96:$T$97,'Div 4'!$T$99:$T$109,'Div 4'!$T$111:$T$112,'Div 4'!$T$114,'Div 4'!$T$116:$T$118,'Div 4'!$T$120</definedName>
    <definedName name="OSRRefT22x_0" localSheetId="93">'Div 5'!$T$21:$T$30,'Div 5'!$T$32:$T$41,'Div 5'!$T$43,'Div 5'!$T$45,'Div 5'!$T$47,'Div 5'!$T$49:$T$50,'Div 5'!$T$52,'Div 5'!$T$54,'Div 5'!$T$56,'Div 5'!$T$58:$T$61,'Div 5'!$T$63,'Div 5'!$T$65:$T$66,'Div 5'!$T$68,'Div 5'!$T$70</definedName>
    <definedName name="OSRRefT22x_0" localSheetId="62">'Div 6'!$T$53:$T$62,'Div 6'!$T$64:$T$73,'Div 6'!$T$75,'Div 6'!$T$77,'Div 6'!$T$79,'Div 6'!$T$81,'Div 6'!$T$83:$T$84,'Div 6'!$T$86,'Div 6'!$T$88,'Div 6'!$T$90:$T$91,'Div 6'!$T$93,'Div 6'!$T$95:$T$98,'Div 6'!$T$100,'Div 6'!$T$102</definedName>
    <definedName name="OSRRefT22x_0" localSheetId="2">Summary!$T$158:$T$167,Summary!$T$169:$T$178,Summary!$T$180,Summary!$T$182:$T$183,Summary!$T$185,Summary!$T$187:$T$189,Summary!$T$191:$T$192,Summary!$T$194:$T$195,Summary!$T$197,Summary!$T$199,Summary!$T$201:$T$202,Summary!$T$204:$T$206,Summary!$T$208,Summary!$T$210,Summary!$T$212:$T$213,Summary!$T$215,Summary!$T$217,Summary!$T$219,Summary!$T$221:$T$224,Summary!$T$226:$T$229,Summary!$T$231:$T$235,Summary!$T$237:$T$238,Summary!$T$240:$T$250,Summary!$T$252:$T$253,Summary!$T$255,Summary!$T$257:$T$259,Summary!$T$261</definedName>
    <definedName name="OSRRefT25x_0" localSheetId="42">'202'!$T$70:$T$72</definedName>
    <definedName name="OSRRefT25x_0" localSheetId="48">'300'!$T$222:$T$226</definedName>
    <definedName name="OSRRefT25x_0" localSheetId="49">'300 &amp; 317'!$T$246:$T$251</definedName>
    <definedName name="OSRRefT25x_0" localSheetId="50">'301'!$T$100:$T$101</definedName>
    <definedName name="OSRRefT25x_0" localSheetId="54">'308'!$T$116:$T$118</definedName>
    <definedName name="OSRRefT25x_0" localSheetId="72">'310 &amp; 491'!$T$123:$T$126</definedName>
    <definedName name="OSRRefT25x_0" localSheetId="55">'311'!$T$115:$T$117</definedName>
    <definedName name="OSRRefT25x_0" localSheetId="58">'315'!$T$148:$T$151</definedName>
    <definedName name="OSRRefT25x_0" localSheetId="61">'316'!$T$81</definedName>
    <definedName name="OSRRefT25x_0" localSheetId="63">'317'!$T$105:$T$106</definedName>
    <definedName name="OSRRefT25x_0" localSheetId="57">'331'!$T$166:$T$169</definedName>
    <definedName name="OSRRefT25x_0" localSheetId="60">'332'!$T$83:$T$84</definedName>
    <definedName name="OSRRefT25x_0" localSheetId="76">'411'!$T$84:$T$85</definedName>
    <definedName name="OSRRefT25x_0" localSheetId="81">'418'!$T$84</definedName>
    <definedName name="OSRRefT25x_0" localSheetId="83">'423'!$T$52:$T$54</definedName>
    <definedName name="OSRRefT25x_0" localSheetId="86">'455'!$T$21:$T$22</definedName>
    <definedName name="OSRRefT25x_0" localSheetId="73">'491'!$T$116:$T$119</definedName>
    <definedName name="OSRRefT25x_0" localSheetId="94">'501'!$T$73</definedName>
    <definedName name="OSRRefT25x_0" localSheetId="39">'Div 2'!$T$99:$T$101</definedName>
    <definedName name="OSRRefT25x_0" localSheetId="47">'Div 3'!$T$229:$T$233</definedName>
    <definedName name="OSRRefT25x_0" localSheetId="71">'Div 4'!$T$123:$T$126</definedName>
    <definedName name="OSRRefT25x_0" localSheetId="93">'Div 5'!$T$73</definedName>
    <definedName name="OSRRefT25x_0" localSheetId="62">'Div 6'!$T$105:$T$106</definedName>
    <definedName name="OSRRefT25x_0" localSheetId="2">Summary!$T$264:$T$271</definedName>
    <definedName name="_xlnm.Print_Area" localSheetId="38">'100'!$A$1:$Z$34</definedName>
    <definedName name="_xlnm.Print_Area" localSheetId="40">'200'!$A$1:$Z$43</definedName>
    <definedName name="_xlnm.Print_Area" localSheetId="41">'201'!$A$1:$Z$90</definedName>
    <definedName name="_xlnm.Print_Area" localSheetId="42">'202'!$A$1:$Z$84</definedName>
    <definedName name="_xlnm.Print_Area" localSheetId="43">'203'!$A$1:$Z$86</definedName>
    <definedName name="_xlnm.Print_Area" localSheetId="44">'204'!$A$1:$Z$81</definedName>
    <definedName name="_xlnm.Print_Area" localSheetId="45">'205'!$A$1:$Z$69</definedName>
    <definedName name="_xlnm.Print_Area" localSheetId="46">'206'!$A$1:$Z$70</definedName>
    <definedName name="_xlnm.Print_Area" localSheetId="48">'300'!$A$1:$Z$238</definedName>
    <definedName name="_xlnm.Print_Area" localSheetId="49">'300 &amp; 317'!$A$1:$Z$263</definedName>
    <definedName name="_xlnm.Print_Area" localSheetId="50">'301'!$A$1:$Z$113</definedName>
    <definedName name="_xlnm.Print_Area" localSheetId="51">'306'!$A$1:$Z$73</definedName>
    <definedName name="_xlnm.Print_Area" localSheetId="53">'307'!$A$1:$Z$102</definedName>
    <definedName name="_xlnm.Print_Area" localSheetId="54">'308'!$A$1:$Z$130</definedName>
    <definedName name="_xlnm.Print_Area" localSheetId="65">'309'!$A$1:$Z$76</definedName>
    <definedName name="_xlnm.Print_Area" localSheetId="64">'310'!$A$1:$Z$119</definedName>
    <definedName name="_xlnm.Print_Area" localSheetId="72">'310 &amp; 491'!$A$1:$Z$138</definedName>
    <definedName name="_xlnm.Print_Area" localSheetId="55">'311'!$A$1:$Z$129</definedName>
    <definedName name="_xlnm.Print_Area" localSheetId="66">'313'!$A$1:$Z$84</definedName>
    <definedName name="_xlnm.Print_Area" localSheetId="58">'315'!$A$1:$Z$163</definedName>
    <definedName name="_xlnm.Print_Area" localSheetId="61">'316'!$A$1:$Z$93</definedName>
    <definedName name="_xlnm.Print_Area" localSheetId="63">'317'!$A$1:$Z$118</definedName>
    <definedName name="_xlnm.Print_Area" localSheetId="67">'321'!$A$1:$Z$89</definedName>
    <definedName name="_xlnm.Print_Area" localSheetId="68">'322'!$A$1:$Z$80</definedName>
    <definedName name="_xlnm.Print_Area" localSheetId="56">'324'!$A$1:$Z$59</definedName>
    <definedName name="_xlnm.Print_Area" localSheetId="69">'325'!$A$1:$Z$100</definedName>
    <definedName name="_xlnm.Print_Area" localSheetId="59">'326'!$A$1:$Z$132</definedName>
    <definedName name="_xlnm.Print_Area" localSheetId="70">'327'!$A$1:$Z$40</definedName>
    <definedName name="_xlnm.Print_Area" localSheetId="52">'330'!$A$1:$Z$106</definedName>
    <definedName name="_xlnm.Print_Area" localSheetId="57">'331'!$A$1:$Z$181</definedName>
    <definedName name="_xlnm.Print_Area" localSheetId="60">'332'!$A$1:$Z$96</definedName>
    <definedName name="_xlnm.Print_Area" localSheetId="74">'405'!$A$1:$Z$101</definedName>
    <definedName name="_xlnm.Print_Area" localSheetId="75">'406'!$A$1:$Z$42</definedName>
    <definedName name="_xlnm.Print_Area" localSheetId="76">'411'!$A$1:$Z$97</definedName>
    <definedName name="_xlnm.Print_Area" localSheetId="77">'412'!$A$1:$Z$88</definedName>
    <definedName name="_xlnm.Print_Area" localSheetId="78">'413'!$A$1:$Z$90</definedName>
    <definedName name="_xlnm.Print_Area" localSheetId="79">'414'!$A$1:$Z$89</definedName>
    <definedName name="_xlnm.Print_Area" localSheetId="80">'415'!$A$1:$Z$109</definedName>
    <definedName name="_xlnm.Print_Area" localSheetId="81">'418'!$A$1:$Z$96</definedName>
    <definedName name="_xlnm.Print_Area" localSheetId="82">'420'!$A$1:$Z$38</definedName>
    <definedName name="_xlnm.Print_Area" localSheetId="83">'423'!$A$1:$Z$66</definedName>
    <definedName name="_xlnm.Print_Area" localSheetId="84">'424'!$A$1:$Z$40</definedName>
    <definedName name="_xlnm.Print_Area" localSheetId="85">'425'!$A$1:$Z$50</definedName>
    <definedName name="_xlnm.Print_Area" localSheetId="88">'430'!$A$1:$Z$68</definedName>
    <definedName name="_xlnm.Print_Area" localSheetId="89">'433'!$A$1:$Z$101</definedName>
    <definedName name="_xlnm.Print_Area" localSheetId="90">'435'!$A$1:$Z$34</definedName>
    <definedName name="_xlnm.Print_Area" localSheetId="91">'444'!$A$1:$Z$108</definedName>
    <definedName name="_xlnm.Print_Area" localSheetId="92">'450'!$A$1:$Z$96</definedName>
    <definedName name="_xlnm.Print_Area" localSheetId="86">'455'!$A$1:$Z$34</definedName>
    <definedName name="_xlnm.Print_Area" localSheetId="73">'491'!$A$1:$Z$131</definedName>
    <definedName name="_xlnm.Print_Area" localSheetId="87">'492'!$A$1:$Z$112</definedName>
    <definedName name="_xlnm.Print_Area" localSheetId="94">'501'!$A$1:$Z$85</definedName>
    <definedName name="_xlnm.Print_Area" localSheetId="95">Dept!$A$1:$Z$39</definedName>
    <definedName name="_xlnm.Print_Area" localSheetId="37">'Div 1'!$A$1:$Z$34</definedName>
    <definedName name="_xlnm.Print_Area" localSheetId="39">'Div 2'!$A$1:$Z$113</definedName>
    <definedName name="_xlnm.Print_Area" localSheetId="47">'Div 3'!$A$1:$Z$245</definedName>
    <definedName name="_xlnm.Print_Area" localSheetId="71">'Div 4'!$A$1:$Z$138</definedName>
    <definedName name="_xlnm.Print_Area" localSheetId="93">'Div 5'!$A$1:$Z$85</definedName>
    <definedName name="_xlnm.Print_Area" localSheetId="62">'Div 6'!$A$1:$Z$118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6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7">'OSR_Summary (...56e5d78f_5JEYZH'!$A$1:$Z$39</definedName>
    <definedName name="_xlnm.Print_Area" localSheetId="3">OSR_Summary_18VAVWG!$A$1:$Z$39</definedName>
    <definedName name="_xlnm.Print_Area" localSheetId="2">Summary!$A$1:$Z$285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2">'310 &amp; 491'!$A:$C,'310 &amp; 491'!$1:$10</definedName>
    <definedName name="_xlnm.Print_Titles" localSheetId="55">'311'!$A:$C,'311'!$1:$10</definedName>
    <definedName name="_xlnm.Print_Titles" localSheetId="66">'313'!$A:$C,'313'!$1:$10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3">'317'!$A:$C,'317'!$1:$10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6">'324'!$A:$C,'324'!$1:$10</definedName>
    <definedName name="_xlnm.Print_Titles" localSheetId="69">'325'!$A:$C,'325'!$1:$10</definedName>
    <definedName name="_xlnm.Print_Titles" localSheetId="59">'326'!$A:$C,'326'!$1:$10</definedName>
    <definedName name="_xlnm.Print_Titles" localSheetId="70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4">'405'!$A:$C,'405'!$1:$10</definedName>
    <definedName name="_xlnm.Print_Titles" localSheetId="75">'406'!$A:$C,'406'!$1:$10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'420'!$A:$C,'420'!$1:$10</definedName>
    <definedName name="_xlnm.Print_Titles" localSheetId="83">'423'!$A:$C,'423'!$1:$10</definedName>
    <definedName name="_xlnm.Print_Titles" localSheetId="84">'424'!$A:$C,'424'!$1:$10</definedName>
    <definedName name="_xlnm.Print_Titles" localSheetId="85">'425'!$A:$C,'425'!$1:$10</definedName>
    <definedName name="_xlnm.Print_Titles" localSheetId="88">'430'!$A:$C,'430'!$1:$10</definedName>
    <definedName name="_xlnm.Print_Titles" localSheetId="89">'433'!$A:$C,'433'!$1:$10</definedName>
    <definedName name="_xlnm.Print_Titles" localSheetId="90">'435'!$A:$C,'435'!$1:$10</definedName>
    <definedName name="_xlnm.Print_Titles" localSheetId="91">'444'!$A:$C,'444'!$1:$10</definedName>
    <definedName name="_xlnm.Print_Titles" localSheetId="92">'450'!$A:$C,'450'!$1:$10</definedName>
    <definedName name="_xlnm.Print_Titles" localSheetId="86">'455'!$A:$C,'455'!$1:$10</definedName>
    <definedName name="_xlnm.Print_Titles" localSheetId="73">'491'!$A:$C,'491'!$1:$10</definedName>
    <definedName name="_xlnm.Print_Titles" localSheetId="87">'492'!$A:$C,'492'!$1:$10</definedName>
    <definedName name="_xlnm.Print_Titles" localSheetId="94">'501'!$A:$C,'501'!$1:$10</definedName>
    <definedName name="_xlnm.Print_Titles" localSheetId="95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1">'Div 4'!$A:$C,'Div 4'!$1:$10</definedName>
    <definedName name="_xlnm.Print_Titles" localSheetId="93">'Div 5'!$A:$C,'Div 5'!$1:$10</definedName>
    <definedName name="_xlnm.Print_Titles" localSheetId="62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6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7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7" i="97" l="1"/>
  <c r="X77" i="97"/>
  <c r="L77" i="97"/>
  <c r="N77" i="97" s="1"/>
  <c r="X73" i="97"/>
  <c r="Z73" i="97" s="1"/>
  <c r="P73" i="97"/>
  <c r="D73" i="97"/>
  <c r="L73" i="97" s="1"/>
  <c r="N73" i="97" s="1"/>
  <c r="B73" i="97"/>
  <c r="T72" i="97"/>
  <c r="P72" i="97"/>
  <c r="X72" i="97" s="1"/>
  <c r="Z72" i="97" s="1"/>
  <c r="H72" i="97"/>
  <c r="X70" i="97"/>
  <c r="Z70" i="97" s="1"/>
  <c r="N70" i="97"/>
  <c r="L70" i="97"/>
  <c r="B70" i="97"/>
  <c r="T69" i="97"/>
  <c r="P69" i="97"/>
  <c r="L69" i="97"/>
  <c r="N69" i="97" s="1"/>
  <c r="H69" i="97"/>
  <c r="D69" i="97"/>
  <c r="B69" i="97"/>
  <c r="X68" i="97"/>
  <c r="Z68" i="97" s="1"/>
  <c r="N68" i="97"/>
  <c r="L68" i="97"/>
  <c r="B68" i="97"/>
  <c r="T67" i="97"/>
  <c r="P67" i="97"/>
  <c r="H67" i="97"/>
  <c r="D67" i="97"/>
  <c r="B67" i="97"/>
  <c r="Z66" i="97"/>
  <c r="X66" i="97"/>
  <c r="N66" i="97"/>
  <c r="L66" i="97"/>
  <c r="B66" i="97"/>
  <c r="Z65" i="97"/>
  <c r="X65" i="97"/>
  <c r="L65" i="97"/>
  <c r="N65" i="97" s="1"/>
  <c r="B65" i="97"/>
  <c r="T64" i="97"/>
  <c r="X64" i="97" s="1"/>
  <c r="P64" i="97"/>
  <c r="H64" i="97"/>
  <c r="D64" i="97"/>
  <c r="L64" i="97" s="1"/>
  <c r="B64" i="97"/>
  <c r="Z63" i="97"/>
  <c r="X63" i="97"/>
  <c r="L63" i="97"/>
  <c r="N63" i="97" s="1"/>
  <c r="B63" i="97"/>
  <c r="T62" i="97"/>
  <c r="Z62" i="97" s="1"/>
  <c r="P62" i="97"/>
  <c r="X62" i="97" s="1"/>
  <c r="H62" i="97"/>
  <c r="D62" i="97"/>
  <c r="L62" i="97" s="1"/>
  <c r="N62" i="97" s="1"/>
  <c r="B62" i="97"/>
  <c r="Z61" i="97"/>
  <c r="X61" i="97"/>
  <c r="N61" i="97"/>
  <c r="L61" i="97"/>
  <c r="B61" i="97"/>
  <c r="Z60" i="97"/>
  <c r="X60" i="97"/>
  <c r="N60" i="97"/>
  <c r="L60" i="97"/>
  <c r="B60" i="97"/>
  <c r="X59" i="97"/>
  <c r="Z59" i="97" s="1"/>
  <c r="R59" i="97"/>
  <c r="N59" i="97"/>
  <c r="L59" i="97"/>
  <c r="B59" i="97"/>
  <c r="Z58" i="97"/>
  <c r="X58" i="97"/>
  <c r="N58" i="97"/>
  <c r="L58" i="97"/>
  <c r="B58" i="97"/>
  <c r="T57" i="97"/>
  <c r="P57" i="97"/>
  <c r="X57" i="97" s="1"/>
  <c r="H57" i="97"/>
  <c r="D57" i="97"/>
  <c r="L57" i="97" s="1"/>
  <c r="B57" i="97"/>
  <c r="X56" i="97"/>
  <c r="Z56" i="97" s="1"/>
  <c r="N56" i="97"/>
  <c r="L56" i="97"/>
  <c r="B56" i="97"/>
  <c r="T55" i="97"/>
  <c r="P55" i="97"/>
  <c r="X55" i="97" s="1"/>
  <c r="Z55" i="97" s="1"/>
  <c r="H55" i="97"/>
  <c r="D55" i="97"/>
  <c r="L55" i="97" s="1"/>
  <c r="N55" i="97" s="1"/>
  <c r="B55" i="97"/>
  <c r="Z54" i="97"/>
  <c r="X54" i="97"/>
  <c r="L54" i="97"/>
  <c r="N54" i="97" s="1"/>
  <c r="B54" i="97"/>
  <c r="T53" i="97"/>
  <c r="P53" i="97"/>
  <c r="X53" i="97" s="1"/>
  <c r="H53" i="97"/>
  <c r="L53" i="97" s="1"/>
  <c r="N53" i="97" s="1"/>
  <c r="D53" i="97"/>
  <c r="B53" i="97"/>
  <c r="Z52" i="97"/>
  <c r="X52" i="97"/>
  <c r="N52" i="97"/>
  <c r="L52" i="97"/>
  <c r="B52" i="97"/>
  <c r="T51" i="97"/>
  <c r="P51" i="97"/>
  <c r="X51" i="97" s="1"/>
  <c r="N51" i="97"/>
  <c r="H51" i="97"/>
  <c r="D51" i="97"/>
  <c r="L51" i="97" s="1"/>
  <c r="B51" i="97"/>
  <c r="Z50" i="97"/>
  <c r="X50" i="97"/>
  <c r="L50" i="97"/>
  <c r="N50" i="97" s="1"/>
  <c r="B50" i="97"/>
  <c r="Z49" i="97"/>
  <c r="X49" i="97"/>
  <c r="N49" i="97"/>
  <c r="L49" i="97"/>
  <c r="B49" i="97"/>
  <c r="X48" i="97"/>
  <c r="Z48" i="97" s="1"/>
  <c r="T48" i="97"/>
  <c r="P48" i="97"/>
  <c r="H48" i="97"/>
  <c r="D48" i="97"/>
  <c r="B48" i="97"/>
  <c r="X47" i="97"/>
  <c r="Z47" i="97" s="1"/>
  <c r="L47" i="97"/>
  <c r="N47" i="97" s="1"/>
  <c r="B47" i="97"/>
  <c r="Z46" i="97"/>
  <c r="X46" i="97"/>
  <c r="T46" i="97"/>
  <c r="P46" i="97"/>
  <c r="N46" i="97"/>
  <c r="H46" i="97"/>
  <c r="D46" i="97"/>
  <c r="L46" i="97" s="1"/>
  <c r="B46" i="97"/>
  <c r="Z45" i="97"/>
  <c r="X45" i="97"/>
  <c r="L45" i="97"/>
  <c r="N45" i="97" s="1"/>
  <c r="B45" i="97"/>
  <c r="T44" i="97"/>
  <c r="P44" i="97"/>
  <c r="X44" i="97" s="1"/>
  <c r="Z44" i="97" s="1"/>
  <c r="N44" i="97"/>
  <c r="L44" i="97"/>
  <c r="H44" i="97"/>
  <c r="D44" i="97"/>
  <c r="B44" i="97"/>
  <c r="Z43" i="97"/>
  <c r="X43" i="97"/>
  <c r="L43" i="97"/>
  <c r="N43" i="97" s="1"/>
  <c r="B43" i="97"/>
  <c r="T42" i="97"/>
  <c r="P42" i="97"/>
  <c r="X42" i="97" s="1"/>
  <c r="H42" i="97"/>
  <c r="L42" i="97" s="1"/>
  <c r="D42" i="97"/>
  <c r="B42" i="97"/>
  <c r="Z41" i="97"/>
  <c r="X41" i="97"/>
  <c r="N41" i="97"/>
  <c r="L41" i="97"/>
  <c r="B41" i="97"/>
  <c r="Z40" i="97"/>
  <c r="X40" i="97"/>
  <c r="N40" i="97"/>
  <c r="L40" i="97"/>
  <c r="B40" i="97"/>
  <c r="Z39" i="97"/>
  <c r="X39" i="97"/>
  <c r="L39" i="97"/>
  <c r="N39" i="97" s="1"/>
  <c r="B39" i="97"/>
  <c r="X38" i="97"/>
  <c r="Z38" i="97" s="1"/>
  <c r="N38" i="97"/>
  <c r="L38" i="97"/>
  <c r="B38" i="97"/>
  <c r="Z37" i="97"/>
  <c r="X37" i="97"/>
  <c r="N37" i="97"/>
  <c r="L37" i="97"/>
  <c r="B37" i="97"/>
  <c r="Z36" i="97"/>
  <c r="X36" i="97"/>
  <c r="N36" i="97"/>
  <c r="L36" i="97"/>
  <c r="B36" i="97"/>
  <c r="X35" i="97"/>
  <c r="Z35" i="97" s="1"/>
  <c r="R35" i="97"/>
  <c r="L35" i="97"/>
  <c r="N35" i="97" s="1"/>
  <c r="B35" i="97"/>
  <c r="Z34" i="97"/>
  <c r="X34" i="97"/>
  <c r="N34" i="97"/>
  <c r="L34" i="97"/>
  <c r="B34" i="97"/>
  <c r="X33" i="97"/>
  <c r="Z33" i="97" s="1"/>
  <c r="L33" i="97"/>
  <c r="N33" i="97" s="1"/>
  <c r="J33" i="97"/>
  <c r="B33" i="97"/>
  <c r="Z32" i="97"/>
  <c r="X32" i="97"/>
  <c r="L32" i="97"/>
  <c r="N32" i="97" s="1"/>
  <c r="J32" i="97"/>
  <c r="B32" i="97"/>
  <c r="Z31" i="97"/>
  <c r="X31" i="97"/>
  <c r="T31" i="97"/>
  <c r="P31" i="97"/>
  <c r="H31" i="97"/>
  <c r="D31" i="97"/>
  <c r="L31" i="97" s="1"/>
  <c r="B31" i="97"/>
  <c r="X30" i="97"/>
  <c r="Z30" i="97" s="1"/>
  <c r="N30" i="97"/>
  <c r="L30" i="97"/>
  <c r="B30" i="97"/>
  <c r="X29" i="97"/>
  <c r="Z29" i="97" s="1"/>
  <c r="L29" i="97"/>
  <c r="N29" i="97" s="1"/>
  <c r="B29" i="97"/>
  <c r="Z28" i="97"/>
  <c r="X28" i="97"/>
  <c r="L28" i="97"/>
  <c r="N28" i="97" s="1"/>
  <c r="J28" i="97"/>
  <c r="B28" i="97"/>
  <c r="Z27" i="97"/>
  <c r="X27" i="97"/>
  <c r="N27" i="97"/>
  <c r="L27" i="97"/>
  <c r="B27" i="97"/>
  <c r="Z26" i="97"/>
  <c r="X26" i="97"/>
  <c r="N26" i="97"/>
  <c r="L26" i="97"/>
  <c r="B26" i="97"/>
  <c r="Z25" i="97"/>
  <c r="X25" i="97"/>
  <c r="N25" i="97"/>
  <c r="L25" i="97"/>
  <c r="B25" i="97"/>
  <c r="Z24" i="97"/>
  <c r="X24" i="97"/>
  <c r="N24" i="97"/>
  <c r="L24" i="97"/>
  <c r="B24" i="97"/>
  <c r="X23" i="97"/>
  <c r="Z23" i="97" s="1"/>
  <c r="N23" i="97"/>
  <c r="L23" i="97"/>
  <c r="B23" i="97"/>
  <c r="Z22" i="97"/>
  <c r="X22" i="97"/>
  <c r="N22" i="97"/>
  <c r="L22" i="97"/>
  <c r="J22" i="97"/>
  <c r="B22" i="97"/>
  <c r="X21" i="97"/>
  <c r="Z21" i="97" s="1"/>
  <c r="R21" i="97"/>
  <c r="N21" i="97"/>
  <c r="L21" i="97"/>
  <c r="B21" i="97"/>
  <c r="T20" i="97"/>
  <c r="P20" i="97"/>
  <c r="X20" i="97" s="1"/>
  <c r="L20" i="97"/>
  <c r="N20" i="97" s="1"/>
  <c r="H20" i="97"/>
  <c r="D20" i="97"/>
  <c r="B20" i="97"/>
  <c r="T19" i="97"/>
  <c r="P19" i="97"/>
  <c r="H19" i="97"/>
  <c r="D19" i="97"/>
  <c r="L19" i="97" s="1"/>
  <c r="N19" i="97" s="1"/>
  <c r="P17" i="97"/>
  <c r="P75" i="97" s="1"/>
  <c r="T15" i="97"/>
  <c r="P15" i="97"/>
  <c r="H15" i="97"/>
  <c r="D15" i="97"/>
  <c r="P13" i="97"/>
  <c r="X13" i="97" s="1"/>
  <c r="Z13" i="97" s="1"/>
  <c r="D13" i="97"/>
  <c r="B13" i="97"/>
  <c r="T12" i="97"/>
  <c r="V29" i="97" s="1"/>
  <c r="P12" i="97"/>
  <c r="R62" i="97" s="1"/>
  <c r="H12" i="97"/>
  <c r="D6" i="97"/>
  <c r="D4" i="97"/>
  <c r="V31" i="96"/>
  <c r="J31" i="96"/>
  <c r="V28" i="96"/>
  <c r="Z26" i="96"/>
  <c r="X26" i="96"/>
  <c r="R26" i="96"/>
  <c r="N26" i="96"/>
  <c r="L26" i="96"/>
  <c r="F26" i="96"/>
  <c r="F24" i="96"/>
  <c r="Z22" i="96"/>
  <c r="X22" i="96"/>
  <c r="P22" i="96"/>
  <c r="P20" i="96" s="1"/>
  <c r="X20" i="96" s="1"/>
  <c r="N22" i="96"/>
  <c r="L22" i="96"/>
  <c r="J22" i="96"/>
  <c r="D22" i="96"/>
  <c r="B22" i="96"/>
  <c r="Z21" i="96"/>
  <c r="X21" i="96"/>
  <c r="P21" i="96"/>
  <c r="N21" i="96"/>
  <c r="L21" i="96"/>
  <c r="J21" i="96"/>
  <c r="F21" i="96"/>
  <c r="D21" i="96"/>
  <c r="B21" i="96"/>
  <c r="V20" i="96"/>
  <c r="T20" i="96"/>
  <c r="Z20" i="96" s="1"/>
  <c r="J20" i="96"/>
  <c r="H20" i="96"/>
  <c r="N20" i="96" s="1"/>
  <c r="D20" i="96"/>
  <c r="L20" i="96" s="1"/>
  <c r="V18" i="96"/>
  <c r="T18" i="96"/>
  <c r="P18" i="96"/>
  <c r="J18" i="96"/>
  <c r="H18" i="96"/>
  <c r="N18" i="96" s="1"/>
  <c r="D18" i="96"/>
  <c r="Z16" i="96"/>
  <c r="V16" i="96"/>
  <c r="T16" i="96"/>
  <c r="J16" i="96"/>
  <c r="H16" i="96"/>
  <c r="Z14" i="96"/>
  <c r="V14" i="96"/>
  <c r="T14" i="96"/>
  <c r="P14" i="96"/>
  <c r="X14" i="96" s="1"/>
  <c r="J14" i="96"/>
  <c r="H14" i="96"/>
  <c r="N14" i="96" s="1"/>
  <c r="D14" i="96"/>
  <c r="D16" i="96" s="1"/>
  <c r="Z12" i="96"/>
  <c r="X12" i="96"/>
  <c r="T12" i="96"/>
  <c r="P12" i="96"/>
  <c r="R24" i="96" s="1"/>
  <c r="L12" i="96"/>
  <c r="H12" i="96"/>
  <c r="J26" i="96" s="1"/>
  <c r="D12" i="96"/>
  <c r="F31" i="96" s="1"/>
  <c r="D6" i="96"/>
  <c r="D4" i="96"/>
  <c r="X88" i="95"/>
  <c r="Z88" i="95" s="1"/>
  <c r="L88" i="95"/>
  <c r="N88" i="95" s="1"/>
  <c r="T86" i="95"/>
  <c r="Z84" i="95"/>
  <c r="X84" i="95"/>
  <c r="T84" i="95"/>
  <c r="P84" i="95"/>
  <c r="N84" i="95"/>
  <c r="L84" i="95"/>
  <c r="H84" i="95"/>
  <c r="D84" i="95"/>
  <c r="Z82" i="95"/>
  <c r="X82" i="95"/>
  <c r="L82" i="95"/>
  <c r="N82" i="95" s="1"/>
  <c r="B82" i="95"/>
  <c r="Z81" i="95"/>
  <c r="T81" i="95"/>
  <c r="P81" i="95"/>
  <c r="X81" i="95" s="1"/>
  <c r="H81" i="95"/>
  <c r="D81" i="95"/>
  <c r="B81" i="95"/>
  <c r="Z80" i="95"/>
  <c r="X80" i="95"/>
  <c r="N80" i="95"/>
  <c r="L80" i="95"/>
  <c r="B80" i="95"/>
  <c r="Z79" i="95"/>
  <c r="X79" i="95"/>
  <c r="L79" i="95"/>
  <c r="N79" i="95" s="1"/>
  <c r="J79" i="95"/>
  <c r="B79" i="95"/>
  <c r="X78" i="95"/>
  <c r="T78" i="95"/>
  <c r="P78" i="95"/>
  <c r="H78" i="95"/>
  <c r="D78" i="95"/>
  <c r="L78" i="95" s="1"/>
  <c r="B78" i="95"/>
  <c r="X77" i="95"/>
  <c r="Z77" i="95" s="1"/>
  <c r="N77" i="95"/>
  <c r="L77" i="95"/>
  <c r="B77" i="95"/>
  <c r="X76" i="95"/>
  <c r="Z76" i="95" s="1"/>
  <c r="N76" i="95"/>
  <c r="L76" i="95"/>
  <c r="B76" i="95"/>
  <c r="Z75" i="95"/>
  <c r="X75" i="95"/>
  <c r="N75" i="95"/>
  <c r="L75" i="95"/>
  <c r="B75" i="95"/>
  <c r="Z74" i="95"/>
  <c r="X74" i="95"/>
  <c r="N74" i="95"/>
  <c r="L74" i="95"/>
  <c r="B74" i="95"/>
  <c r="Z73" i="95"/>
  <c r="X73" i="95"/>
  <c r="N73" i="95"/>
  <c r="L73" i="95"/>
  <c r="B73" i="95"/>
  <c r="Z72" i="95"/>
  <c r="X72" i="95"/>
  <c r="N72" i="95"/>
  <c r="L72" i="95"/>
  <c r="B72" i="95"/>
  <c r="X71" i="95"/>
  <c r="Z71" i="95" s="1"/>
  <c r="N71" i="95"/>
  <c r="L71" i="95"/>
  <c r="J71" i="95"/>
  <c r="B71" i="95"/>
  <c r="X70" i="95"/>
  <c r="Z70" i="95" s="1"/>
  <c r="T70" i="95"/>
  <c r="P70" i="95"/>
  <c r="H70" i="95"/>
  <c r="D70" i="95"/>
  <c r="L70" i="95" s="1"/>
  <c r="N70" i="95" s="1"/>
  <c r="B70" i="95"/>
  <c r="X69" i="95"/>
  <c r="Z69" i="95" s="1"/>
  <c r="N69" i="95"/>
  <c r="L69" i="95"/>
  <c r="B69" i="95"/>
  <c r="X68" i="95"/>
  <c r="Z68" i="95" s="1"/>
  <c r="V68" i="95"/>
  <c r="L68" i="95"/>
  <c r="N68" i="95" s="1"/>
  <c r="B68" i="95"/>
  <c r="Z67" i="95"/>
  <c r="X67" i="95"/>
  <c r="N67" i="95"/>
  <c r="L67" i="95"/>
  <c r="B67" i="95"/>
  <c r="V66" i="95"/>
  <c r="T66" i="95"/>
  <c r="P66" i="95"/>
  <c r="X66" i="95" s="1"/>
  <c r="J66" i="95"/>
  <c r="H66" i="95"/>
  <c r="D66" i="95"/>
  <c r="B66" i="95"/>
  <c r="Z65" i="95"/>
  <c r="X65" i="95"/>
  <c r="V65" i="95"/>
  <c r="N65" i="95"/>
  <c r="L65" i="95"/>
  <c r="B65" i="95"/>
  <c r="T64" i="95"/>
  <c r="X64" i="95" s="1"/>
  <c r="Z64" i="95" s="1"/>
  <c r="P64" i="95"/>
  <c r="L64" i="95"/>
  <c r="H64" i="95"/>
  <c r="D64" i="95"/>
  <c r="B64" i="95"/>
  <c r="Z63" i="95"/>
  <c r="X63" i="95"/>
  <c r="N63" i="95"/>
  <c r="L63" i="95"/>
  <c r="B63" i="95"/>
  <c r="T62" i="95"/>
  <c r="P62" i="95"/>
  <c r="H62" i="95"/>
  <c r="D62" i="95"/>
  <c r="L62" i="95" s="1"/>
  <c r="N62" i="95" s="1"/>
  <c r="B62" i="95"/>
  <c r="Z61" i="95"/>
  <c r="X61" i="95"/>
  <c r="V61" i="95"/>
  <c r="L61" i="95"/>
  <c r="N61" i="95" s="1"/>
  <c r="B61" i="95"/>
  <c r="X60" i="95"/>
  <c r="T60" i="95"/>
  <c r="Z60" i="95" s="1"/>
  <c r="P60" i="95"/>
  <c r="N60" i="95"/>
  <c r="L60" i="95"/>
  <c r="H60" i="95"/>
  <c r="D60" i="95"/>
  <c r="B60" i="95"/>
  <c r="Z59" i="95"/>
  <c r="X59" i="95"/>
  <c r="V59" i="95"/>
  <c r="L59" i="95"/>
  <c r="N59" i="95" s="1"/>
  <c r="J59" i="95"/>
  <c r="B59" i="95"/>
  <c r="T58" i="95"/>
  <c r="Z58" i="95" s="1"/>
  <c r="P58" i="95"/>
  <c r="X58" i="95" s="1"/>
  <c r="J58" i="95"/>
  <c r="H58" i="95"/>
  <c r="D58" i="95"/>
  <c r="L58" i="95" s="1"/>
  <c r="B58" i="95"/>
  <c r="Z57" i="95"/>
  <c r="X57" i="95"/>
  <c r="V57" i="95"/>
  <c r="N57" i="95"/>
  <c r="L57" i="95"/>
  <c r="B57" i="95"/>
  <c r="V56" i="95"/>
  <c r="T56" i="95"/>
  <c r="Z56" i="95" s="1"/>
  <c r="P56" i="95"/>
  <c r="X56" i="95" s="1"/>
  <c r="N56" i="95"/>
  <c r="H56" i="95"/>
  <c r="D56" i="95"/>
  <c r="L56" i="95" s="1"/>
  <c r="B56" i="95"/>
  <c r="X55" i="95"/>
  <c r="Z55" i="95" s="1"/>
  <c r="N55" i="95"/>
  <c r="L55" i="95"/>
  <c r="B55" i="95"/>
  <c r="Z54" i="95"/>
  <c r="X54" i="95"/>
  <c r="T54" i="95"/>
  <c r="P54" i="95"/>
  <c r="L54" i="95"/>
  <c r="H54" i="95"/>
  <c r="N54" i="95" s="1"/>
  <c r="D54" i="95"/>
  <c r="B54" i="95"/>
  <c r="Z53" i="95"/>
  <c r="X53" i="95"/>
  <c r="N53" i="95"/>
  <c r="L53" i="95"/>
  <c r="B53" i="95"/>
  <c r="V52" i="95"/>
  <c r="T52" i="95"/>
  <c r="P52" i="95"/>
  <c r="X52" i="95" s="1"/>
  <c r="H52" i="95"/>
  <c r="D52" i="95"/>
  <c r="L52" i="95" s="1"/>
  <c r="B52" i="95"/>
  <c r="X51" i="95"/>
  <c r="Z51" i="95" s="1"/>
  <c r="V51" i="95"/>
  <c r="L51" i="95"/>
  <c r="N51" i="95" s="1"/>
  <c r="B51" i="95"/>
  <c r="V50" i="95"/>
  <c r="T50" i="95"/>
  <c r="P50" i="95"/>
  <c r="X50" i="95" s="1"/>
  <c r="Z50" i="95" s="1"/>
  <c r="H50" i="95"/>
  <c r="D50" i="95"/>
  <c r="L50" i="95" s="1"/>
  <c r="B50" i="95"/>
  <c r="Z49" i="95"/>
  <c r="X49" i="95"/>
  <c r="N49" i="95"/>
  <c r="L49" i="95"/>
  <c r="B49" i="95"/>
  <c r="X48" i="95"/>
  <c r="T48" i="95"/>
  <c r="Z48" i="95" s="1"/>
  <c r="P48" i="95"/>
  <c r="L48" i="95"/>
  <c r="N48" i="95" s="1"/>
  <c r="H48" i="95"/>
  <c r="D48" i="95"/>
  <c r="B48" i="95"/>
  <c r="Z47" i="95"/>
  <c r="X47" i="95"/>
  <c r="V47" i="95"/>
  <c r="L47" i="95"/>
  <c r="N47" i="95" s="1"/>
  <c r="J47" i="95"/>
  <c r="B47" i="95"/>
  <c r="T46" i="95"/>
  <c r="P46" i="95"/>
  <c r="X46" i="95" s="1"/>
  <c r="H46" i="95"/>
  <c r="D46" i="95"/>
  <c r="B46" i="95"/>
  <c r="Z45" i="95"/>
  <c r="X45" i="95"/>
  <c r="V45" i="95"/>
  <c r="N45" i="95"/>
  <c r="L45" i="95"/>
  <c r="B45" i="95"/>
  <c r="V44" i="95"/>
  <c r="T44" i="95"/>
  <c r="P44" i="95"/>
  <c r="X44" i="95" s="1"/>
  <c r="H44" i="95"/>
  <c r="D44" i="95"/>
  <c r="L44" i="95" s="1"/>
  <c r="N44" i="95" s="1"/>
  <c r="B44" i="95"/>
  <c r="Z43" i="95"/>
  <c r="X43" i="95"/>
  <c r="V43" i="95"/>
  <c r="N43" i="95"/>
  <c r="L43" i="95"/>
  <c r="B43" i="95"/>
  <c r="Z42" i="95"/>
  <c r="X42" i="95"/>
  <c r="N42" i="95"/>
  <c r="L42" i="95"/>
  <c r="B42" i="95"/>
  <c r="Z41" i="95"/>
  <c r="X41" i="95"/>
  <c r="N41" i="95"/>
  <c r="L41" i="95"/>
  <c r="B41" i="95"/>
  <c r="X40" i="95"/>
  <c r="Z40" i="95" s="1"/>
  <c r="V40" i="95"/>
  <c r="N40" i="95"/>
  <c r="L40" i="95"/>
  <c r="J40" i="95"/>
  <c r="B40" i="95"/>
  <c r="Z39" i="95"/>
  <c r="X39" i="95"/>
  <c r="V39" i="95"/>
  <c r="N39" i="95"/>
  <c r="L39" i="95"/>
  <c r="B39" i="95"/>
  <c r="X38" i="95"/>
  <c r="Z38" i="95" s="1"/>
  <c r="N38" i="95"/>
  <c r="L38" i="95"/>
  <c r="B38" i="95"/>
  <c r="Z37" i="95"/>
  <c r="X37" i="95"/>
  <c r="N37" i="95"/>
  <c r="L37" i="95"/>
  <c r="B37" i="95"/>
  <c r="Z36" i="95"/>
  <c r="X36" i="95"/>
  <c r="V36" i="95"/>
  <c r="N36" i="95"/>
  <c r="L36" i="95"/>
  <c r="J36" i="95"/>
  <c r="B36" i="95"/>
  <c r="X35" i="95"/>
  <c r="Z35" i="95" s="1"/>
  <c r="V35" i="95"/>
  <c r="N35" i="95"/>
  <c r="L35" i="95"/>
  <c r="B35" i="95"/>
  <c r="Z34" i="95"/>
  <c r="X34" i="95"/>
  <c r="N34" i="95"/>
  <c r="L34" i="95"/>
  <c r="B34" i="95"/>
  <c r="T33" i="95"/>
  <c r="P33" i="95"/>
  <c r="L33" i="95"/>
  <c r="N33" i="95" s="1"/>
  <c r="H33" i="95"/>
  <c r="D33" i="95"/>
  <c r="B33" i="95"/>
  <c r="Z32" i="95"/>
  <c r="X32" i="95"/>
  <c r="V32" i="95"/>
  <c r="N32" i="95"/>
  <c r="L32" i="95"/>
  <c r="B32" i="95"/>
  <c r="Z31" i="95"/>
  <c r="X31" i="95"/>
  <c r="V31" i="95"/>
  <c r="L31" i="95"/>
  <c r="N31" i="95" s="1"/>
  <c r="J31" i="95"/>
  <c r="B31" i="95"/>
  <c r="Z30" i="95"/>
  <c r="X30" i="95"/>
  <c r="L30" i="95"/>
  <c r="N30" i="95" s="1"/>
  <c r="B30" i="95"/>
  <c r="Z29" i="95"/>
  <c r="X29" i="95"/>
  <c r="V29" i="95"/>
  <c r="N29" i="95"/>
  <c r="L29" i="95"/>
  <c r="B29" i="95"/>
  <c r="Z28" i="95"/>
  <c r="X28" i="95"/>
  <c r="V28" i="95"/>
  <c r="N28" i="95"/>
  <c r="L28" i="95"/>
  <c r="B28" i="95"/>
  <c r="Z27" i="95"/>
  <c r="X27" i="95"/>
  <c r="V27" i="95"/>
  <c r="L27" i="95"/>
  <c r="N27" i="95" s="1"/>
  <c r="J27" i="95"/>
  <c r="B27" i="95"/>
  <c r="Z26" i="95"/>
  <c r="X26" i="95"/>
  <c r="L26" i="95"/>
  <c r="N26" i="95" s="1"/>
  <c r="B26" i="95"/>
  <c r="Z25" i="95"/>
  <c r="X25" i="95"/>
  <c r="V25" i="95"/>
  <c r="N25" i="95"/>
  <c r="L25" i="95"/>
  <c r="B25" i="95"/>
  <c r="Z24" i="95"/>
  <c r="X24" i="95"/>
  <c r="V24" i="95"/>
  <c r="L24" i="95"/>
  <c r="N24" i="95" s="1"/>
  <c r="B24" i="95"/>
  <c r="Z23" i="95"/>
  <c r="X23" i="95"/>
  <c r="V23" i="95"/>
  <c r="L23" i="95"/>
  <c r="N23" i="95" s="1"/>
  <c r="J23" i="95"/>
  <c r="B23" i="95"/>
  <c r="T22" i="95"/>
  <c r="Z22" i="95" s="1"/>
  <c r="P22" i="95"/>
  <c r="X22" i="95" s="1"/>
  <c r="H22" i="95"/>
  <c r="D22" i="95"/>
  <c r="B22" i="95"/>
  <c r="T21" i="95"/>
  <c r="P21" i="95"/>
  <c r="X21" i="95" s="1"/>
  <c r="L21" i="95"/>
  <c r="J21" i="95"/>
  <c r="H21" i="95"/>
  <c r="D21" i="95"/>
  <c r="T19" i="95"/>
  <c r="Z17" i="95"/>
  <c r="X17" i="95"/>
  <c r="V17" i="95"/>
  <c r="N17" i="95"/>
  <c r="L17" i="95"/>
  <c r="B17" i="95"/>
  <c r="V16" i="95"/>
  <c r="T16" i="95"/>
  <c r="Z16" i="95" s="1"/>
  <c r="P16" i="95"/>
  <c r="X16" i="95" s="1"/>
  <c r="H16" i="95"/>
  <c r="D16" i="95"/>
  <c r="L16" i="95" s="1"/>
  <c r="N16" i="95" s="1"/>
  <c r="Z14" i="95"/>
  <c r="P14" i="95"/>
  <c r="X14" i="95" s="1"/>
  <c r="N14" i="95"/>
  <c r="D14" i="95"/>
  <c r="L14" i="95" s="1"/>
  <c r="B14" i="95"/>
  <c r="Z13" i="95"/>
  <c r="X13" i="95"/>
  <c r="P13" i="95"/>
  <c r="N13" i="95"/>
  <c r="L13" i="95"/>
  <c r="D13" i="95"/>
  <c r="B13" i="95"/>
  <c r="T12" i="95"/>
  <c r="H12" i="95"/>
  <c r="J57" i="95" s="1"/>
  <c r="D6" i="95"/>
  <c r="D4" i="95"/>
  <c r="X100" i="94"/>
  <c r="Z100" i="94" s="1"/>
  <c r="L100" i="94"/>
  <c r="N100" i="94" s="1"/>
  <c r="T96" i="94"/>
  <c r="P96" i="94"/>
  <c r="H96" i="94"/>
  <c r="N96" i="94" s="1"/>
  <c r="D96" i="94"/>
  <c r="L96" i="94" s="1"/>
  <c r="Z94" i="94"/>
  <c r="X94" i="94"/>
  <c r="N94" i="94"/>
  <c r="L94" i="94"/>
  <c r="B94" i="94"/>
  <c r="Z93" i="94"/>
  <c r="V93" i="94"/>
  <c r="T93" i="94"/>
  <c r="P93" i="94"/>
  <c r="X93" i="94" s="1"/>
  <c r="N93" i="94"/>
  <c r="H93" i="94"/>
  <c r="L93" i="94" s="1"/>
  <c r="D93" i="94"/>
  <c r="B93" i="94"/>
  <c r="X92" i="94"/>
  <c r="Z92" i="94" s="1"/>
  <c r="N92" i="94"/>
  <c r="L92" i="94"/>
  <c r="B92" i="94"/>
  <c r="T91" i="94"/>
  <c r="P91" i="94"/>
  <c r="H91" i="94"/>
  <c r="D91" i="94"/>
  <c r="L91" i="94" s="1"/>
  <c r="N91" i="94" s="1"/>
  <c r="B91" i="94"/>
  <c r="Z90" i="94"/>
  <c r="X90" i="94"/>
  <c r="N90" i="94"/>
  <c r="L90" i="94"/>
  <c r="B90" i="94"/>
  <c r="X89" i="94"/>
  <c r="Z89" i="94" s="1"/>
  <c r="L89" i="94"/>
  <c r="N89" i="94" s="1"/>
  <c r="B89" i="94"/>
  <c r="X88" i="94"/>
  <c r="Z88" i="94" s="1"/>
  <c r="T88" i="94"/>
  <c r="P88" i="94"/>
  <c r="L88" i="94"/>
  <c r="H88" i="94"/>
  <c r="D88" i="94"/>
  <c r="B88" i="94"/>
  <c r="Z87" i="94"/>
  <c r="X87" i="94"/>
  <c r="N87" i="94"/>
  <c r="L87" i="94"/>
  <c r="B87" i="94"/>
  <c r="Z86" i="94"/>
  <c r="X86" i="94"/>
  <c r="L86" i="94"/>
  <c r="N86" i="94" s="1"/>
  <c r="B86" i="94"/>
  <c r="X85" i="94"/>
  <c r="Z85" i="94" s="1"/>
  <c r="N85" i="94"/>
  <c r="L85" i="94"/>
  <c r="B85" i="94"/>
  <c r="Z84" i="94"/>
  <c r="X84" i="94"/>
  <c r="L84" i="94"/>
  <c r="N84" i="94" s="1"/>
  <c r="B84" i="94"/>
  <c r="Z83" i="94"/>
  <c r="X83" i="94"/>
  <c r="N83" i="94"/>
  <c r="L83" i="94"/>
  <c r="B83" i="94"/>
  <c r="Z82" i="94"/>
  <c r="X82" i="94"/>
  <c r="L82" i="94"/>
  <c r="N82" i="94" s="1"/>
  <c r="B82" i="94"/>
  <c r="Z81" i="94"/>
  <c r="X81" i="94"/>
  <c r="L81" i="94"/>
  <c r="N81" i="94" s="1"/>
  <c r="B81" i="94"/>
  <c r="Z80" i="94"/>
  <c r="X80" i="94"/>
  <c r="N80" i="94"/>
  <c r="L80" i="94"/>
  <c r="B80" i="94"/>
  <c r="Z79" i="94"/>
  <c r="X79" i="94"/>
  <c r="N79" i="94"/>
  <c r="L79" i="94"/>
  <c r="B79" i="94"/>
  <c r="V78" i="94"/>
  <c r="T78" i="94"/>
  <c r="P78" i="94"/>
  <c r="N78" i="94"/>
  <c r="H78" i="94"/>
  <c r="D78" i="94"/>
  <c r="L78" i="94" s="1"/>
  <c r="B78" i="94"/>
  <c r="Z77" i="94"/>
  <c r="X77" i="94"/>
  <c r="N77" i="94"/>
  <c r="L77" i="94"/>
  <c r="B77" i="94"/>
  <c r="Z76" i="94"/>
  <c r="T76" i="94"/>
  <c r="P76" i="94"/>
  <c r="X76" i="94" s="1"/>
  <c r="H76" i="94"/>
  <c r="N76" i="94" s="1"/>
  <c r="D76" i="94"/>
  <c r="L76" i="94" s="1"/>
  <c r="B76" i="94"/>
  <c r="Z75" i="94"/>
  <c r="X75" i="94"/>
  <c r="N75" i="94"/>
  <c r="L75" i="94"/>
  <c r="B75" i="94"/>
  <c r="X74" i="94"/>
  <c r="Z74" i="94" s="1"/>
  <c r="N74" i="94"/>
  <c r="L74" i="94"/>
  <c r="B74" i="94"/>
  <c r="Z73" i="94"/>
  <c r="X73" i="94"/>
  <c r="N73" i="94"/>
  <c r="L73" i="94"/>
  <c r="B73" i="94"/>
  <c r="X72" i="94"/>
  <c r="Z72" i="94" s="1"/>
  <c r="N72" i="94"/>
  <c r="L72" i="94"/>
  <c r="B72" i="94"/>
  <c r="T71" i="94"/>
  <c r="P71" i="94"/>
  <c r="H71" i="94"/>
  <c r="D71" i="94"/>
  <c r="L71" i="94" s="1"/>
  <c r="N71" i="94" s="1"/>
  <c r="B71" i="94"/>
  <c r="Z70" i="94"/>
  <c r="X70" i="94"/>
  <c r="L70" i="94"/>
  <c r="N70" i="94" s="1"/>
  <c r="B70" i="94"/>
  <c r="X69" i="94"/>
  <c r="Z69" i="94" s="1"/>
  <c r="V69" i="94"/>
  <c r="L69" i="94"/>
  <c r="N69" i="94" s="1"/>
  <c r="B69" i="94"/>
  <c r="Z68" i="94"/>
  <c r="X68" i="94"/>
  <c r="N68" i="94"/>
  <c r="L68" i="94"/>
  <c r="B68" i="94"/>
  <c r="Z67" i="94"/>
  <c r="X67" i="94"/>
  <c r="N67" i="94"/>
  <c r="L67" i="94"/>
  <c r="B67" i="94"/>
  <c r="Z66" i="94"/>
  <c r="T66" i="94"/>
  <c r="P66" i="94"/>
  <c r="X66" i="94" s="1"/>
  <c r="H66" i="94"/>
  <c r="D66" i="94"/>
  <c r="B66" i="94"/>
  <c r="X65" i="94"/>
  <c r="Z65" i="94" s="1"/>
  <c r="L65" i="94"/>
  <c r="N65" i="94" s="1"/>
  <c r="B65" i="94"/>
  <c r="T64" i="94"/>
  <c r="P64" i="94"/>
  <c r="X64" i="94" s="1"/>
  <c r="Z64" i="94" s="1"/>
  <c r="H64" i="94"/>
  <c r="N64" i="94" s="1"/>
  <c r="D64" i="94"/>
  <c r="L64" i="94" s="1"/>
  <c r="B64" i="94"/>
  <c r="X63" i="94"/>
  <c r="Z63" i="94" s="1"/>
  <c r="N63" i="94"/>
  <c r="L63" i="94"/>
  <c r="B63" i="94"/>
  <c r="X62" i="94"/>
  <c r="T62" i="94"/>
  <c r="P62" i="94"/>
  <c r="L62" i="94"/>
  <c r="N62" i="94" s="1"/>
  <c r="H62" i="94"/>
  <c r="D62" i="94"/>
  <c r="B62" i="94"/>
  <c r="Z61" i="94"/>
  <c r="X61" i="94"/>
  <c r="L61" i="94"/>
  <c r="N61" i="94" s="1"/>
  <c r="B61" i="94"/>
  <c r="Z60" i="94"/>
  <c r="T60" i="94"/>
  <c r="P60" i="94"/>
  <c r="X60" i="94" s="1"/>
  <c r="H60" i="94"/>
  <c r="D60" i="94"/>
  <c r="B60" i="94"/>
  <c r="Z59" i="94"/>
  <c r="X59" i="94"/>
  <c r="N59" i="94"/>
  <c r="L59" i="94"/>
  <c r="B59" i="94"/>
  <c r="V58" i="94"/>
  <c r="T58" i="94"/>
  <c r="Z58" i="94" s="1"/>
  <c r="P58" i="94"/>
  <c r="X58" i="94" s="1"/>
  <c r="H58" i="94"/>
  <c r="D58" i="94"/>
  <c r="L58" i="94" s="1"/>
  <c r="N58" i="94" s="1"/>
  <c r="B58" i="94"/>
  <c r="X57" i="94"/>
  <c r="Z57" i="94" s="1"/>
  <c r="V57" i="94"/>
  <c r="N57" i="94"/>
  <c r="L57" i="94"/>
  <c r="B57" i="94"/>
  <c r="X56" i="94"/>
  <c r="Z56" i="94" s="1"/>
  <c r="T56" i="94"/>
  <c r="P56" i="94"/>
  <c r="H56" i="94"/>
  <c r="D56" i="94"/>
  <c r="B56" i="94"/>
  <c r="Z55" i="94"/>
  <c r="X55" i="94"/>
  <c r="N55" i="94"/>
  <c r="L55" i="94"/>
  <c r="B55" i="94"/>
  <c r="Z54" i="94"/>
  <c r="T54" i="94"/>
  <c r="P54" i="94"/>
  <c r="X54" i="94" s="1"/>
  <c r="H54" i="94"/>
  <c r="N54" i="94" s="1"/>
  <c r="D54" i="94"/>
  <c r="L54" i="94" s="1"/>
  <c r="B54" i="94"/>
  <c r="X53" i="94"/>
  <c r="Z53" i="94" s="1"/>
  <c r="V53" i="94"/>
  <c r="N53" i="94"/>
  <c r="L53" i="94"/>
  <c r="B53" i="94"/>
  <c r="T52" i="94"/>
  <c r="P52" i="94"/>
  <c r="X52" i="94" s="1"/>
  <c r="Z52" i="94" s="1"/>
  <c r="J52" i="94"/>
  <c r="H52" i="94"/>
  <c r="D52" i="94"/>
  <c r="L52" i="94" s="1"/>
  <c r="B52" i="94"/>
  <c r="Z51" i="94"/>
  <c r="X51" i="94"/>
  <c r="N51" i="94"/>
  <c r="L51" i="94"/>
  <c r="B51" i="94"/>
  <c r="X50" i="94"/>
  <c r="T50" i="94"/>
  <c r="P50" i="94"/>
  <c r="H50" i="94"/>
  <c r="D50" i="94"/>
  <c r="B50" i="94"/>
  <c r="Z49" i="94"/>
  <c r="X49" i="94"/>
  <c r="N49" i="94"/>
  <c r="L49" i="94"/>
  <c r="B49" i="94"/>
  <c r="T48" i="94"/>
  <c r="P48" i="94"/>
  <c r="X48" i="94" s="1"/>
  <c r="Z48" i="94" s="1"/>
  <c r="N48" i="94"/>
  <c r="L48" i="94"/>
  <c r="H48" i="94"/>
  <c r="D48" i="94"/>
  <c r="B48" i="94"/>
  <c r="Z47" i="94"/>
  <c r="X47" i="94"/>
  <c r="N47" i="94"/>
  <c r="L47" i="94"/>
  <c r="B47" i="94"/>
  <c r="Z46" i="94"/>
  <c r="X46" i="94"/>
  <c r="N46" i="94"/>
  <c r="L46" i="94"/>
  <c r="B46" i="94"/>
  <c r="Z45" i="94"/>
  <c r="X45" i="94"/>
  <c r="N45" i="94"/>
  <c r="L45" i="94"/>
  <c r="B45" i="94"/>
  <c r="Z44" i="94"/>
  <c r="X44" i="94"/>
  <c r="N44" i="94"/>
  <c r="L44" i="94"/>
  <c r="B44" i="94"/>
  <c r="Z43" i="94"/>
  <c r="X43" i="94"/>
  <c r="N43" i="94"/>
  <c r="L43" i="94"/>
  <c r="B43" i="94"/>
  <c r="X42" i="94"/>
  <c r="Z42" i="94" s="1"/>
  <c r="L42" i="94"/>
  <c r="N42" i="94" s="1"/>
  <c r="B42" i="94"/>
  <c r="Z41" i="94"/>
  <c r="X41" i="94"/>
  <c r="L41" i="94"/>
  <c r="N41" i="94" s="1"/>
  <c r="B41" i="94"/>
  <c r="Z40" i="94"/>
  <c r="X40" i="94"/>
  <c r="N40" i="94"/>
  <c r="L40" i="94"/>
  <c r="B40" i="94"/>
  <c r="Z39" i="94"/>
  <c r="X39" i="94"/>
  <c r="V39" i="94"/>
  <c r="L39" i="94"/>
  <c r="N39" i="94" s="1"/>
  <c r="B39" i="94"/>
  <c r="Z38" i="94"/>
  <c r="X38" i="94"/>
  <c r="N38" i="94"/>
  <c r="L38" i="94"/>
  <c r="B38" i="94"/>
  <c r="T37" i="94"/>
  <c r="P37" i="94"/>
  <c r="X37" i="94" s="1"/>
  <c r="Z37" i="94" s="1"/>
  <c r="H37" i="94"/>
  <c r="D37" i="94"/>
  <c r="B37" i="94"/>
  <c r="Z36" i="94"/>
  <c r="X36" i="94"/>
  <c r="N36" i="94"/>
  <c r="L36" i="94"/>
  <c r="B36" i="94"/>
  <c r="Z35" i="94"/>
  <c r="X35" i="94"/>
  <c r="N35" i="94"/>
  <c r="L35" i="94"/>
  <c r="B35" i="94"/>
  <c r="X34" i="94"/>
  <c r="Z34" i="94" s="1"/>
  <c r="V34" i="94"/>
  <c r="N34" i="94"/>
  <c r="L34" i="94"/>
  <c r="B34" i="94"/>
  <c r="Z33" i="94"/>
  <c r="X33" i="94"/>
  <c r="N33" i="94"/>
  <c r="L33" i="94"/>
  <c r="B33" i="94"/>
  <c r="Z32" i="94"/>
  <c r="X32" i="94"/>
  <c r="N32" i="94"/>
  <c r="L32" i="94"/>
  <c r="B32" i="94"/>
  <c r="Z31" i="94"/>
  <c r="X31" i="94"/>
  <c r="N31" i="94"/>
  <c r="L31" i="94"/>
  <c r="B31" i="94"/>
  <c r="X30" i="94"/>
  <c r="Z30" i="94" s="1"/>
  <c r="V30" i="94"/>
  <c r="N30" i="94"/>
  <c r="L30" i="94"/>
  <c r="B30" i="94"/>
  <c r="X29" i="94"/>
  <c r="Z29" i="94" s="1"/>
  <c r="L29" i="94"/>
  <c r="N29" i="94" s="1"/>
  <c r="B29" i="94"/>
  <c r="Z28" i="94"/>
  <c r="X28" i="94"/>
  <c r="N28" i="94"/>
  <c r="L28" i="94"/>
  <c r="B28" i="94"/>
  <c r="Z27" i="94"/>
  <c r="X27" i="94"/>
  <c r="N27" i="94"/>
  <c r="L27" i="94"/>
  <c r="B27" i="94"/>
  <c r="V26" i="94"/>
  <c r="T26" i="94"/>
  <c r="P26" i="94"/>
  <c r="H26" i="94"/>
  <c r="D26" i="94"/>
  <c r="L26" i="94" s="1"/>
  <c r="N26" i="94" s="1"/>
  <c r="B26" i="94"/>
  <c r="X25" i="94"/>
  <c r="V25" i="94"/>
  <c r="T25" i="94"/>
  <c r="P25" i="94"/>
  <c r="H25" i="94"/>
  <c r="N25" i="94" s="1"/>
  <c r="D25" i="94"/>
  <c r="L25" i="94" s="1"/>
  <c r="Z21" i="94"/>
  <c r="X21" i="94"/>
  <c r="V21" i="94"/>
  <c r="N21" i="94"/>
  <c r="L21" i="94"/>
  <c r="B21" i="94"/>
  <c r="Z20" i="94"/>
  <c r="X20" i="94"/>
  <c r="N20" i="94"/>
  <c r="L20" i="94"/>
  <c r="B20" i="94"/>
  <c r="Z19" i="94"/>
  <c r="X19" i="94"/>
  <c r="N19" i="94"/>
  <c r="L19" i="94"/>
  <c r="B19" i="94"/>
  <c r="T18" i="94"/>
  <c r="P18" i="94"/>
  <c r="X18" i="94" s="1"/>
  <c r="Z18" i="94" s="1"/>
  <c r="H18" i="94"/>
  <c r="F18" i="94"/>
  <c r="D18" i="94"/>
  <c r="L18" i="94" s="1"/>
  <c r="N18" i="94" s="1"/>
  <c r="Z16" i="94"/>
  <c r="P16" i="94"/>
  <c r="X16" i="94" s="1"/>
  <c r="N16" i="94"/>
  <c r="D16" i="94"/>
  <c r="L16" i="94" s="1"/>
  <c r="B16" i="94"/>
  <c r="Z15" i="94"/>
  <c r="P15" i="94"/>
  <c r="X15" i="94" s="1"/>
  <c r="N15" i="94"/>
  <c r="L15" i="94"/>
  <c r="D15" i="94"/>
  <c r="B15" i="94"/>
  <c r="Z14" i="94"/>
  <c r="X14" i="94"/>
  <c r="P14" i="94"/>
  <c r="L14" i="94"/>
  <c r="N14" i="94" s="1"/>
  <c r="D14" i="94"/>
  <c r="B14" i="94"/>
  <c r="Z13" i="94"/>
  <c r="X13" i="94"/>
  <c r="P13" i="94"/>
  <c r="P12" i="94" s="1"/>
  <c r="R34" i="94" s="1"/>
  <c r="N13" i="94"/>
  <c r="D13" i="94"/>
  <c r="L13" i="94" s="1"/>
  <c r="B13" i="94"/>
  <c r="T12" i="94"/>
  <c r="H12" i="94"/>
  <c r="J74" i="94" s="1"/>
  <c r="D12" i="94"/>
  <c r="F71" i="94" s="1"/>
  <c r="D6" i="94"/>
  <c r="D4" i="94"/>
  <c r="J31" i="93"/>
  <c r="F31" i="93"/>
  <c r="J28" i="93"/>
  <c r="F28" i="93"/>
  <c r="Z26" i="93"/>
  <c r="X26" i="93"/>
  <c r="N26" i="93"/>
  <c r="L26" i="93"/>
  <c r="F26" i="93"/>
  <c r="J24" i="93"/>
  <c r="Z22" i="93"/>
  <c r="X22" i="93"/>
  <c r="T22" i="93"/>
  <c r="P22" i="93"/>
  <c r="L22" i="93"/>
  <c r="J22" i="93"/>
  <c r="H22" i="93"/>
  <c r="N22" i="93" s="1"/>
  <c r="D22" i="93"/>
  <c r="Z20" i="93"/>
  <c r="X20" i="93"/>
  <c r="N20" i="93"/>
  <c r="L20" i="93"/>
  <c r="F20" i="93"/>
  <c r="B20" i="93"/>
  <c r="T19" i="93"/>
  <c r="Z19" i="93" s="1"/>
  <c r="P19" i="93"/>
  <c r="X19" i="93" s="1"/>
  <c r="N19" i="93"/>
  <c r="H19" i="93"/>
  <c r="F19" i="93"/>
  <c r="D19" i="93"/>
  <c r="L19" i="93" s="1"/>
  <c r="B19" i="93"/>
  <c r="V18" i="93"/>
  <c r="T18" i="93"/>
  <c r="Z18" i="93" s="1"/>
  <c r="P18" i="93"/>
  <c r="N18" i="93"/>
  <c r="H18" i="93"/>
  <c r="F18" i="93"/>
  <c r="D18" i="93"/>
  <c r="L18" i="93" s="1"/>
  <c r="V16" i="93"/>
  <c r="T16" i="93"/>
  <c r="F16" i="93"/>
  <c r="V14" i="93"/>
  <c r="T14" i="93"/>
  <c r="Z14" i="93" s="1"/>
  <c r="P14" i="93"/>
  <c r="X14" i="93" s="1"/>
  <c r="N14" i="93"/>
  <c r="H14" i="93"/>
  <c r="F14" i="93"/>
  <c r="D14" i="93"/>
  <c r="L14" i="93" s="1"/>
  <c r="T12" i="93"/>
  <c r="P12" i="93"/>
  <c r="N12" i="93"/>
  <c r="H12" i="93"/>
  <c r="L12" i="93" s="1"/>
  <c r="D12" i="93"/>
  <c r="D16" i="93" s="1"/>
  <c r="D6" i="93"/>
  <c r="D4" i="93"/>
  <c r="Z93" i="92"/>
  <c r="X93" i="92"/>
  <c r="N93" i="92"/>
  <c r="L93" i="92"/>
  <c r="Z89" i="92"/>
  <c r="T89" i="92"/>
  <c r="P89" i="92"/>
  <c r="X89" i="92" s="1"/>
  <c r="H89" i="92"/>
  <c r="N89" i="92" s="1"/>
  <c r="D89" i="92"/>
  <c r="Z87" i="92"/>
  <c r="X87" i="92"/>
  <c r="N87" i="92"/>
  <c r="L87" i="92"/>
  <c r="B87" i="92"/>
  <c r="Z86" i="92"/>
  <c r="X86" i="92"/>
  <c r="T86" i="92"/>
  <c r="P86" i="92"/>
  <c r="N86" i="92"/>
  <c r="H86" i="92"/>
  <c r="D86" i="92"/>
  <c r="L86" i="92" s="1"/>
  <c r="B86" i="92"/>
  <c r="Z85" i="92"/>
  <c r="X85" i="92"/>
  <c r="L85" i="92"/>
  <c r="N85" i="92" s="1"/>
  <c r="B85" i="92"/>
  <c r="X84" i="92"/>
  <c r="T84" i="92"/>
  <c r="P84" i="92"/>
  <c r="H84" i="92"/>
  <c r="N84" i="92" s="1"/>
  <c r="D84" i="92"/>
  <c r="L84" i="92" s="1"/>
  <c r="B84" i="92"/>
  <c r="Z83" i="92"/>
  <c r="X83" i="92"/>
  <c r="N83" i="92"/>
  <c r="L83" i="92"/>
  <c r="B83" i="92"/>
  <c r="Z82" i="92"/>
  <c r="X82" i="92"/>
  <c r="N82" i="92"/>
  <c r="L82" i="92"/>
  <c r="B82" i="92"/>
  <c r="X81" i="92"/>
  <c r="Z81" i="92" s="1"/>
  <c r="L81" i="92"/>
  <c r="N81" i="92" s="1"/>
  <c r="B81" i="92"/>
  <c r="X80" i="92"/>
  <c r="Z80" i="92" s="1"/>
  <c r="L80" i="92"/>
  <c r="N80" i="92" s="1"/>
  <c r="B80" i="92"/>
  <c r="X79" i="92"/>
  <c r="Z79" i="92" s="1"/>
  <c r="N79" i="92"/>
  <c r="L79" i="92"/>
  <c r="B79" i="92"/>
  <c r="Z78" i="92"/>
  <c r="X78" i="92"/>
  <c r="N78" i="92"/>
  <c r="L78" i="92"/>
  <c r="B78" i="92"/>
  <c r="X77" i="92"/>
  <c r="Z77" i="92" s="1"/>
  <c r="L77" i="92"/>
  <c r="N77" i="92" s="1"/>
  <c r="B77" i="92"/>
  <c r="X76" i="92"/>
  <c r="Z76" i="92" s="1"/>
  <c r="L76" i="92"/>
  <c r="N76" i="92" s="1"/>
  <c r="B76" i="92"/>
  <c r="Z75" i="92"/>
  <c r="X75" i="92"/>
  <c r="T75" i="92"/>
  <c r="P75" i="92"/>
  <c r="L75" i="92"/>
  <c r="H75" i="92"/>
  <c r="N75" i="92" s="1"/>
  <c r="D75" i="92"/>
  <c r="B75" i="92"/>
  <c r="Z74" i="92"/>
  <c r="X74" i="92"/>
  <c r="N74" i="92"/>
  <c r="L74" i="92"/>
  <c r="B74" i="92"/>
  <c r="X73" i="92"/>
  <c r="Z73" i="92" s="1"/>
  <c r="N73" i="92"/>
  <c r="L73" i="92"/>
  <c r="B73" i="92"/>
  <c r="X72" i="92"/>
  <c r="Z72" i="92" s="1"/>
  <c r="L72" i="92"/>
  <c r="N72" i="92" s="1"/>
  <c r="B72" i="92"/>
  <c r="Z71" i="92"/>
  <c r="X71" i="92"/>
  <c r="N71" i="92"/>
  <c r="L71" i="92"/>
  <c r="B71" i="92"/>
  <c r="Z70" i="92"/>
  <c r="X70" i="92"/>
  <c r="T70" i="92"/>
  <c r="P70" i="92"/>
  <c r="H70" i="92"/>
  <c r="D70" i="92"/>
  <c r="L70" i="92" s="1"/>
  <c r="N70" i="92" s="1"/>
  <c r="B70" i="92"/>
  <c r="Z69" i="92"/>
  <c r="X69" i="92"/>
  <c r="L69" i="92"/>
  <c r="N69" i="92" s="1"/>
  <c r="B69" i="92"/>
  <c r="X68" i="92"/>
  <c r="Z68" i="92" s="1"/>
  <c r="N68" i="92"/>
  <c r="L68" i="92"/>
  <c r="B68" i="92"/>
  <c r="Z67" i="92"/>
  <c r="X67" i="92"/>
  <c r="N67" i="92"/>
  <c r="L67" i="92"/>
  <c r="B67" i="92"/>
  <c r="T66" i="92"/>
  <c r="P66" i="92"/>
  <c r="X66" i="92" s="1"/>
  <c r="L66" i="92"/>
  <c r="H66" i="92"/>
  <c r="D66" i="92"/>
  <c r="B66" i="92"/>
  <c r="X65" i="92"/>
  <c r="Z65" i="92" s="1"/>
  <c r="L65" i="92"/>
  <c r="N65" i="92" s="1"/>
  <c r="B65" i="92"/>
  <c r="T64" i="92"/>
  <c r="P64" i="92"/>
  <c r="X64" i="92" s="1"/>
  <c r="Z64" i="92" s="1"/>
  <c r="H64" i="92"/>
  <c r="D64" i="92"/>
  <c r="B64" i="92"/>
  <c r="Z63" i="92"/>
  <c r="X63" i="92"/>
  <c r="N63" i="92"/>
  <c r="L63" i="92"/>
  <c r="B63" i="92"/>
  <c r="Z62" i="92"/>
  <c r="X62" i="92"/>
  <c r="T62" i="92"/>
  <c r="P62" i="92"/>
  <c r="H62" i="92"/>
  <c r="D62" i="92"/>
  <c r="L62" i="92" s="1"/>
  <c r="N62" i="92" s="1"/>
  <c r="B62" i="92"/>
  <c r="Z61" i="92"/>
  <c r="X61" i="92"/>
  <c r="L61" i="92"/>
  <c r="N61" i="92" s="1"/>
  <c r="B61" i="92"/>
  <c r="T60" i="92"/>
  <c r="X60" i="92" s="1"/>
  <c r="P60" i="92"/>
  <c r="H60" i="92"/>
  <c r="D60" i="92"/>
  <c r="L60" i="92" s="1"/>
  <c r="B60" i="92"/>
  <c r="Z59" i="92"/>
  <c r="X59" i="92"/>
  <c r="N59" i="92"/>
  <c r="L59" i="92"/>
  <c r="B59" i="92"/>
  <c r="T58" i="92"/>
  <c r="P58" i="92"/>
  <c r="H58" i="92"/>
  <c r="D58" i="92"/>
  <c r="L58" i="92" s="1"/>
  <c r="N58" i="92" s="1"/>
  <c r="B58" i="92"/>
  <c r="X57" i="92"/>
  <c r="Z57" i="92" s="1"/>
  <c r="N57" i="92"/>
  <c r="L57" i="92"/>
  <c r="B57" i="92"/>
  <c r="X56" i="92"/>
  <c r="Z56" i="92" s="1"/>
  <c r="T56" i="92"/>
  <c r="P56" i="92"/>
  <c r="L56" i="92"/>
  <c r="N56" i="92" s="1"/>
  <c r="H56" i="92"/>
  <c r="D56" i="92"/>
  <c r="B56" i="92"/>
  <c r="Z55" i="92"/>
  <c r="X55" i="92"/>
  <c r="N55" i="92"/>
  <c r="L55" i="92"/>
  <c r="B55" i="92"/>
  <c r="T54" i="92"/>
  <c r="P54" i="92"/>
  <c r="L54" i="92"/>
  <c r="H54" i="92"/>
  <c r="N54" i="92" s="1"/>
  <c r="D54" i="92"/>
  <c r="B54" i="92"/>
  <c r="X53" i="92"/>
  <c r="Z53" i="92" s="1"/>
  <c r="V53" i="92"/>
  <c r="L53" i="92"/>
  <c r="N53" i="92" s="1"/>
  <c r="B53" i="92"/>
  <c r="T52" i="92"/>
  <c r="P52" i="92"/>
  <c r="X52" i="92" s="1"/>
  <c r="Z52" i="92" s="1"/>
  <c r="H52" i="92"/>
  <c r="D52" i="92"/>
  <c r="B52" i="92"/>
  <c r="Z51" i="92"/>
  <c r="X51" i="92"/>
  <c r="N51" i="92"/>
  <c r="L51" i="92"/>
  <c r="B51" i="92"/>
  <c r="Z50" i="92"/>
  <c r="X50" i="92"/>
  <c r="T50" i="92"/>
  <c r="P50" i="92"/>
  <c r="L50" i="92"/>
  <c r="N50" i="92" s="1"/>
  <c r="H50" i="92"/>
  <c r="D50" i="92"/>
  <c r="B50" i="92"/>
  <c r="Z49" i="92"/>
  <c r="X49" i="92"/>
  <c r="L49" i="92"/>
  <c r="N49" i="92" s="1"/>
  <c r="B49" i="92"/>
  <c r="T48" i="92"/>
  <c r="P48" i="92"/>
  <c r="H48" i="92"/>
  <c r="D48" i="92"/>
  <c r="B48" i="92"/>
  <c r="Z47" i="92"/>
  <c r="X47" i="92"/>
  <c r="N47" i="92"/>
  <c r="L47" i="92"/>
  <c r="B47" i="92"/>
  <c r="Z46" i="92"/>
  <c r="X46" i="92"/>
  <c r="N46" i="92"/>
  <c r="L46" i="92"/>
  <c r="B46" i="92"/>
  <c r="X45" i="92"/>
  <c r="Z45" i="92" s="1"/>
  <c r="L45" i="92"/>
  <c r="N45" i="92" s="1"/>
  <c r="B45" i="92"/>
  <c r="Z44" i="92"/>
  <c r="X44" i="92"/>
  <c r="N44" i="92"/>
  <c r="L44" i="92"/>
  <c r="B44" i="92"/>
  <c r="Z43" i="92"/>
  <c r="X43" i="92"/>
  <c r="N43" i="92"/>
  <c r="L43" i="92"/>
  <c r="B43" i="92"/>
  <c r="Z42" i="92"/>
  <c r="X42" i="92"/>
  <c r="N42" i="92"/>
  <c r="L42" i="92"/>
  <c r="B42" i="92"/>
  <c r="X41" i="92"/>
  <c r="Z41" i="92" s="1"/>
  <c r="V41" i="92"/>
  <c r="L41" i="92"/>
  <c r="N41" i="92" s="1"/>
  <c r="B41" i="92"/>
  <c r="Z40" i="92"/>
  <c r="X40" i="92"/>
  <c r="N40" i="92"/>
  <c r="L40" i="92"/>
  <c r="B40" i="92"/>
  <c r="Z39" i="92"/>
  <c r="X39" i="92"/>
  <c r="V39" i="92"/>
  <c r="N39" i="92"/>
  <c r="L39" i="92"/>
  <c r="B39" i="92"/>
  <c r="Z38" i="92"/>
  <c r="X38" i="92"/>
  <c r="N38" i="92"/>
  <c r="L38" i="92"/>
  <c r="B38" i="92"/>
  <c r="X37" i="92"/>
  <c r="Z37" i="92" s="1"/>
  <c r="V37" i="92"/>
  <c r="T37" i="92"/>
  <c r="P37" i="92"/>
  <c r="N37" i="92"/>
  <c r="L37" i="92"/>
  <c r="H37" i="92"/>
  <c r="D37" i="92"/>
  <c r="B37" i="92"/>
  <c r="X36" i="92"/>
  <c r="Z36" i="92" s="1"/>
  <c r="L36" i="92"/>
  <c r="N36" i="92" s="1"/>
  <c r="J36" i="92"/>
  <c r="B36" i="92"/>
  <c r="Z35" i="92"/>
  <c r="X35" i="92"/>
  <c r="N35" i="92"/>
  <c r="L35" i="92"/>
  <c r="B35" i="92"/>
  <c r="Z34" i="92"/>
  <c r="X34" i="92"/>
  <c r="N34" i="92"/>
  <c r="L34" i="92"/>
  <c r="B34" i="92"/>
  <c r="Z33" i="92"/>
  <c r="X33" i="92"/>
  <c r="N33" i="92"/>
  <c r="L33" i="92"/>
  <c r="B33" i="92"/>
  <c r="Z32" i="92"/>
  <c r="X32" i="92"/>
  <c r="N32" i="92"/>
  <c r="L32" i="92"/>
  <c r="B32" i="92"/>
  <c r="Z31" i="92"/>
  <c r="X31" i="92"/>
  <c r="N31" i="92"/>
  <c r="L31" i="92"/>
  <c r="B31" i="92"/>
  <c r="X30" i="92"/>
  <c r="Z30" i="92" s="1"/>
  <c r="V30" i="92"/>
  <c r="N30" i="92"/>
  <c r="L30" i="92"/>
  <c r="B30" i="92"/>
  <c r="X29" i="92"/>
  <c r="Z29" i="92" s="1"/>
  <c r="R29" i="92"/>
  <c r="L29" i="92"/>
  <c r="N29" i="92" s="1"/>
  <c r="J29" i="92"/>
  <c r="B29" i="92"/>
  <c r="X28" i="92"/>
  <c r="Z28" i="92" s="1"/>
  <c r="L28" i="92"/>
  <c r="N28" i="92" s="1"/>
  <c r="B28" i="92"/>
  <c r="Z27" i="92"/>
  <c r="X27" i="92"/>
  <c r="N27" i="92"/>
  <c r="L27" i="92"/>
  <c r="B27" i="92"/>
  <c r="X26" i="92"/>
  <c r="Z26" i="92" s="1"/>
  <c r="V26" i="92"/>
  <c r="T26" i="92"/>
  <c r="P26" i="92"/>
  <c r="H26" i="92"/>
  <c r="D26" i="92"/>
  <c r="L26" i="92" s="1"/>
  <c r="N26" i="92" s="1"/>
  <c r="B26" i="92"/>
  <c r="T25" i="92"/>
  <c r="P25" i="92"/>
  <c r="H25" i="92"/>
  <c r="D25" i="92"/>
  <c r="L25" i="92" s="1"/>
  <c r="N25" i="92" s="1"/>
  <c r="Z21" i="92"/>
  <c r="X21" i="92"/>
  <c r="V21" i="92"/>
  <c r="N21" i="92"/>
  <c r="L21" i="92"/>
  <c r="B21" i="92"/>
  <c r="Z20" i="92"/>
  <c r="X20" i="92"/>
  <c r="N20" i="92"/>
  <c r="L20" i="92"/>
  <c r="J20" i="92"/>
  <c r="B20" i="92"/>
  <c r="Z19" i="92"/>
  <c r="X19" i="92"/>
  <c r="L19" i="92"/>
  <c r="N19" i="92" s="1"/>
  <c r="F19" i="92"/>
  <c r="B19" i="92"/>
  <c r="Z18" i="92"/>
  <c r="X18" i="92"/>
  <c r="T18" i="92"/>
  <c r="P18" i="92"/>
  <c r="H18" i="92"/>
  <c r="D18" i="92"/>
  <c r="L18" i="92" s="1"/>
  <c r="N18" i="92" s="1"/>
  <c r="Z16" i="92"/>
  <c r="X16" i="92"/>
  <c r="P16" i="92"/>
  <c r="P12" i="92" s="1"/>
  <c r="R78" i="92" s="1"/>
  <c r="N16" i="92"/>
  <c r="L16" i="92"/>
  <c r="D16" i="92"/>
  <c r="B16" i="92"/>
  <c r="Z15" i="92"/>
  <c r="P15" i="92"/>
  <c r="X15" i="92" s="1"/>
  <c r="N15" i="92"/>
  <c r="L15" i="92"/>
  <c r="D15" i="92"/>
  <c r="B15" i="92"/>
  <c r="Z14" i="92"/>
  <c r="X14" i="92"/>
  <c r="P14" i="92"/>
  <c r="D14" i="92"/>
  <c r="L14" i="92" s="1"/>
  <c r="N14" i="92" s="1"/>
  <c r="B14" i="92"/>
  <c r="Z13" i="92"/>
  <c r="X13" i="92"/>
  <c r="P13" i="92"/>
  <c r="N13" i="92"/>
  <c r="D13" i="92"/>
  <c r="D12" i="92" s="1"/>
  <c r="B13" i="92"/>
  <c r="T12" i="92"/>
  <c r="V25" i="92" s="1"/>
  <c r="H12" i="92"/>
  <c r="J81" i="92" s="1"/>
  <c r="D6" i="92"/>
  <c r="D4" i="92"/>
  <c r="F65" i="91"/>
  <c r="F62" i="91"/>
  <c r="Z60" i="91"/>
  <c r="X60" i="91"/>
  <c r="N60" i="91"/>
  <c r="L60" i="91"/>
  <c r="V58" i="91"/>
  <c r="F58" i="91"/>
  <c r="Z56" i="91"/>
  <c r="V56" i="91"/>
  <c r="T56" i="91"/>
  <c r="P56" i="91"/>
  <c r="X56" i="91" s="1"/>
  <c r="H56" i="91"/>
  <c r="N56" i="91" s="1"/>
  <c r="F56" i="91"/>
  <c r="D56" i="91"/>
  <c r="L56" i="91" s="1"/>
  <c r="Z54" i="91"/>
  <c r="X54" i="91"/>
  <c r="V54" i="91"/>
  <c r="N54" i="91"/>
  <c r="L54" i="91"/>
  <c r="B54" i="91"/>
  <c r="T53" i="91"/>
  <c r="P53" i="91"/>
  <c r="X53" i="91" s="1"/>
  <c r="Z53" i="91" s="1"/>
  <c r="L53" i="91"/>
  <c r="N53" i="91" s="1"/>
  <c r="H53" i="91"/>
  <c r="D53" i="91"/>
  <c r="B53" i="91"/>
  <c r="Z52" i="91"/>
  <c r="X52" i="91"/>
  <c r="N52" i="91"/>
  <c r="L52" i="91"/>
  <c r="B52" i="91"/>
  <c r="T51" i="91"/>
  <c r="P51" i="91"/>
  <c r="L51" i="91"/>
  <c r="H51" i="91"/>
  <c r="D51" i="91"/>
  <c r="B51" i="91"/>
  <c r="X50" i="91"/>
  <c r="Z50" i="91" s="1"/>
  <c r="N50" i="91"/>
  <c r="L50" i="91"/>
  <c r="B50" i="91"/>
  <c r="Z49" i="91"/>
  <c r="X49" i="91"/>
  <c r="L49" i="91"/>
  <c r="N49" i="91" s="1"/>
  <c r="B49" i="91"/>
  <c r="T48" i="91"/>
  <c r="X48" i="91" s="1"/>
  <c r="Z48" i="91" s="1"/>
  <c r="P48" i="91"/>
  <c r="L48" i="91"/>
  <c r="N48" i="91" s="1"/>
  <c r="H48" i="91"/>
  <c r="D48" i="91"/>
  <c r="B48" i="91"/>
  <c r="X47" i="91"/>
  <c r="Z47" i="91" s="1"/>
  <c r="L47" i="91"/>
  <c r="N47" i="91" s="1"/>
  <c r="F47" i="91"/>
  <c r="B47" i="91"/>
  <c r="Z46" i="91"/>
  <c r="X46" i="91"/>
  <c r="V46" i="91"/>
  <c r="N46" i="91"/>
  <c r="L46" i="91"/>
  <c r="B46" i="91"/>
  <c r="X45" i="91"/>
  <c r="Z45" i="91" s="1"/>
  <c r="L45" i="91"/>
  <c r="N45" i="91" s="1"/>
  <c r="F45" i="91"/>
  <c r="B45" i="91"/>
  <c r="T44" i="91"/>
  <c r="Z44" i="91" s="1"/>
  <c r="R44" i="91"/>
  <c r="P44" i="91"/>
  <c r="X44" i="91" s="1"/>
  <c r="H44" i="91"/>
  <c r="F44" i="91"/>
  <c r="D44" i="91"/>
  <c r="L44" i="91" s="1"/>
  <c r="N44" i="91" s="1"/>
  <c r="B44" i="91"/>
  <c r="X43" i="91"/>
  <c r="Z43" i="91" s="1"/>
  <c r="R43" i="91"/>
  <c r="N43" i="91"/>
  <c r="L43" i="91"/>
  <c r="F43" i="91"/>
  <c r="B43" i="91"/>
  <c r="Z42" i="91"/>
  <c r="X42" i="91"/>
  <c r="T42" i="91"/>
  <c r="P42" i="91"/>
  <c r="N42" i="91"/>
  <c r="H42" i="91"/>
  <c r="F42" i="91"/>
  <c r="D42" i="91"/>
  <c r="L42" i="91" s="1"/>
  <c r="B42" i="91"/>
  <c r="Z41" i="91"/>
  <c r="X41" i="91"/>
  <c r="N41" i="91"/>
  <c r="L41" i="91"/>
  <c r="B41" i="91"/>
  <c r="Z40" i="91"/>
  <c r="T40" i="91"/>
  <c r="X40" i="91" s="1"/>
  <c r="P40" i="91"/>
  <c r="N40" i="91"/>
  <c r="L40" i="91"/>
  <c r="H40" i="91"/>
  <c r="D40" i="91"/>
  <c r="B40" i="91"/>
  <c r="Z39" i="91"/>
  <c r="X39" i="91"/>
  <c r="N39" i="91"/>
  <c r="L39" i="91"/>
  <c r="F39" i="91"/>
  <c r="B39" i="91"/>
  <c r="Z38" i="91"/>
  <c r="X38" i="91"/>
  <c r="V38" i="91"/>
  <c r="N38" i="91"/>
  <c r="L38" i="91"/>
  <c r="B38" i="91"/>
  <c r="Z37" i="91"/>
  <c r="X37" i="91"/>
  <c r="N37" i="91"/>
  <c r="L37" i="91"/>
  <c r="F37" i="91"/>
  <c r="B37" i="91"/>
  <c r="Z36" i="91"/>
  <c r="X36" i="91"/>
  <c r="N36" i="91"/>
  <c r="L36" i="91"/>
  <c r="B36" i="91"/>
  <c r="Z35" i="91"/>
  <c r="X35" i="91"/>
  <c r="N35" i="91"/>
  <c r="L35" i="91"/>
  <c r="F35" i="91"/>
  <c r="B35" i="91"/>
  <c r="Z34" i="91"/>
  <c r="X34" i="91"/>
  <c r="V34" i="91"/>
  <c r="N34" i="91"/>
  <c r="L34" i="91"/>
  <c r="B34" i="91"/>
  <c r="Z33" i="91"/>
  <c r="X33" i="91"/>
  <c r="N33" i="91"/>
  <c r="L33" i="91"/>
  <c r="F33" i="91"/>
  <c r="B33" i="91"/>
  <c r="Z32" i="91"/>
  <c r="X32" i="91"/>
  <c r="N32" i="91"/>
  <c r="L32" i="91"/>
  <c r="B32" i="91"/>
  <c r="X31" i="91"/>
  <c r="Z31" i="91" s="1"/>
  <c r="L31" i="91"/>
  <c r="N31" i="91" s="1"/>
  <c r="F31" i="91"/>
  <c r="B31" i="91"/>
  <c r="Z30" i="91"/>
  <c r="X30" i="91"/>
  <c r="V30" i="91"/>
  <c r="N30" i="91"/>
  <c r="L30" i="91"/>
  <c r="B30" i="91"/>
  <c r="T29" i="91"/>
  <c r="P29" i="91"/>
  <c r="X29" i="91" s="1"/>
  <c r="Z29" i="91" s="1"/>
  <c r="L29" i="91"/>
  <c r="N29" i="91" s="1"/>
  <c r="H29" i="91"/>
  <c r="D29" i="91"/>
  <c r="B29" i="91"/>
  <c r="Z28" i="91"/>
  <c r="X28" i="91"/>
  <c r="N28" i="91"/>
  <c r="L28" i="91"/>
  <c r="F28" i="91"/>
  <c r="B28" i="91"/>
  <c r="X27" i="91"/>
  <c r="Z27" i="91" s="1"/>
  <c r="R27" i="91"/>
  <c r="L27" i="91"/>
  <c r="N27" i="91" s="1"/>
  <c r="F27" i="91"/>
  <c r="B27" i="91"/>
  <c r="Z26" i="91"/>
  <c r="X26" i="91"/>
  <c r="N26" i="91"/>
  <c r="L26" i="91"/>
  <c r="B26" i="91"/>
  <c r="Z25" i="91"/>
  <c r="X25" i="91"/>
  <c r="R25" i="91"/>
  <c r="N25" i="91"/>
  <c r="L25" i="91"/>
  <c r="F25" i="91"/>
  <c r="B25" i="91"/>
  <c r="Z24" i="91"/>
  <c r="X24" i="91"/>
  <c r="N24" i="91"/>
  <c r="L24" i="91"/>
  <c r="F24" i="91"/>
  <c r="B24" i="91"/>
  <c r="X23" i="91"/>
  <c r="Z23" i="91" s="1"/>
  <c r="R23" i="91"/>
  <c r="L23" i="91"/>
  <c r="N23" i="91" s="1"/>
  <c r="F23" i="91"/>
  <c r="B23" i="91"/>
  <c r="Z22" i="91"/>
  <c r="X22" i="91"/>
  <c r="N22" i="91"/>
  <c r="L22" i="91"/>
  <c r="B22" i="91"/>
  <c r="X21" i="91"/>
  <c r="Z21" i="91" s="1"/>
  <c r="R21" i="91"/>
  <c r="N21" i="91"/>
  <c r="L21" i="91"/>
  <c r="F21" i="91"/>
  <c r="B21" i="91"/>
  <c r="Z20" i="91"/>
  <c r="X20" i="91"/>
  <c r="N20" i="91"/>
  <c r="L20" i="91"/>
  <c r="F20" i="91"/>
  <c r="B20" i="91"/>
  <c r="T19" i="91"/>
  <c r="P19" i="91"/>
  <c r="L19" i="91"/>
  <c r="H19" i="91"/>
  <c r="F19" i="91"/>
  <c r="D19" i="91"/>
  <c r="B19" i="91"/>
  <c r="Z18" i="91"/>
  <c r="X18" i="91"/>
  <c r="T18" i="91"/>
  <c r="P18" i="91"/>
  <c r="N18" i="91"/>
  <c r="H18" i="91"/>
  <c r="L18" i="91" s="1"/>
  <c r="D18" i="91"/>
  <c r="Z14" i="91"/>
  <c r="X14" i="91"/>
  <c r="T14" i="91"/>
  <c r="P14" i="91"/>
  <c r="N14" i="91"/>
  <c r="H14" i="91"/>
  <c r="L14" i="91" s="1"/>
  <c r="D14" i="91"/>
  <c r="T12" i="91"/>
  <c r="V48" i="91" s="1"/>
  <c r="P12" i="91"/>
  <c r="R58" i="91" s="1"/>
  <c r="H12" i="91"/>
  <c r="J50" i="91" s="1"/>
  <c r="D12" i="91"/>
  <c r="F52" i="91" s="1"/>
  <c r="D6" i="91"/>
  <c r="D4" i="91"/>
  <c r="R47" i="90"/>
  <c r="F47" i="90"/>
  <c r="R44" i="90"/>
  <c r="F44" i="90"/>
  <c r="Z42" i="90"/>
  <c r="X42" i="90"/>
  <c r="N42" i="90"/>
  <c r="L42" i="90"/>
  <c r="Z38" i="90"/>
  <c r="T38" i="90"/>
  <c r="X38" i="90" s="1"/>
  <c r="P38" i="90"/>
  <c r="N38" i="90"/>
  <c r="L38" i="90"/>
  <c r="H38" i="90"/>
  <c r="D38" i="90"/>
  <c r="Z36" i="90"/>
  <c r="X36" i="90"/>
  <c r="R36" i="90"/>
  <c r="N36" i="90"/>
  <c r="L36" i="90"/>
  <c r="B36" i="90"/>
  <c r="T35" i="90"/>
  <c r="Z35" i="90" s="1"/>
  <c r="P35" i="90"/>
  <c r="X35" i="90" s="1"/>
  <c r="N35" i="90"/>
  <c r="H35" i="90"/>
  <c r="D35" i="90"/>
  <c r="L35" i="90" s="1"/>
  <c r="B35" i="90"/>
  <c r="Z34" i="90"/>
  <c r="X34" i="90"/>
  <c r="V34" i="90"/>
  <c r="N34" i="90"/>
  <c r="L34" i="90"/>
  <c r="B34" i="90"/>
  <c r="Z33" i="90"/>
  <c r="X33" i="90"/>
  <c r="N33" i="90"/>
  <c r="L33" i="90"/>
  <c r="F33" i="90"/>
  <c r="B33" i="90"/>
  <c r="T32" i="90"/>
  <c r="Z32" i="90" s="1"/>
  <c r="R32" i="90"/>
  <c r="P32" i="90"/>
  <c r="X32" i="90" s="1"/>
  <c r="H32" i="90"/>
  <c r="N32" i="90" s="1"/>
  <c r="F32" i="90"/>
  <c r="D32" i="90"/>
  <c r="L32" i="90" s="1"/>
  <c r="B32" i="90"/>
  <c r="Z31" i="90"/>
  <c r="X31" i="90"/>
  <c r="R31" i="90"/>
  <c r="N31" i="90"/>
  <c r="L31" i="90"/>
  <c r="F31" i="90"/>
  <c r="B31" i="90"/>
  <c r="Z30" i="90"/>
  <c r="X30" i="90"/>
  <c r="T30" i="90"/>
  <c r="P30" i="90"/>
  <c r="N30" i="90"/>
  <c r="L30" i="90"/>
  <c r="H30" i="90"/>
  <c r="F30" i="90"/>
  <c r="D30" i="90"/>
  <c r="B30" i="90"/>
  <c r="Z29" i="90"/>
  <c r="X29" i="90"/>
  <c r="L29" i="90"/>
  <c r="N29" i="90" s="1"/>
  <c r="B29" i="90"/>
  <c r="Z28" i="90"/>
  <c r="T28" i="90"/>
  <c r="X28" i="90" s="1"/>
  <c r="P28" i="90"/>
  <c r="N28" i="90"/>
  <c r="L28" i="90"/>
  <c r="H28" i="90"/>
  <c r="D28" i="90"/>
  <c r="B28" i="90"/>
  <c r="Z27" i="90"/>
  <c r="X27" i="90"/>
  <c r="N27" i="90"/>
  <c r="L27" i="90"/>
  <c r="F27" i="90"/>
  <c r="B27" i="90"/>
  <c r="V26" i="90"/>
  <c r="T26" i="90"/>
  <c r="Z26" i="90" s="1"/>
  <c r="R26" i="90"/>
  <c r="P26" i="90"/>
  <c r="X26" i="90" s="1"/>
  <c r="H26" i="90"/>
  <c r="N26" i="90" s="1"/>
  <c r="F26" i="90"/>
  <c r="D26" i="90"/>
  <c r="L26" i="90" s="1"/>
  <c r="B26" i="90"/>
  <c r="Z25" i="90"/>
  <c r="X25" i="90"/>
  <c r="R25" i="90"/>
  <c r="N25" i="90"/>
  <c r="L25" i="90"/>
  <c r="B25" i="90"/>
  <c r="Z24" i="90"/>
  <c r="X24" i="90"/>
  <c r="N24" i="90"/>
  <c r="L24" i="90"/>
  <c r="F24" i="90"/>
  <c r="B24" i="90"/>
  <c r="Z23" i="90"/>
  <c r="X23" i="90"/>
  <c r="R23" i="90"/>
  <c r="N23" i="90"/>
  <c r="L23" i="90"/>
  <c r="F23" i="90"/>
  <c r="B23" i="90"/>
  <c r="Z22" i="90"/>
  <c r="X22" i="90"/>
  <c r="N22" i="90"/>
  <c r="L22" i="90"/>
  <c r="B22" i="90"/>
  <c r="Z21" i="90"/>
  <c r="X21" i="90"/>
  <c r="R21" i="90"/>
  <c r="N21" i="90"/>
  <c r="L21" i="90"/>
  <c r="B21" i="90"/>
  <c r="Z20" i="90"/>
  <c r="X20" i="90"/>
  <c r="T20" i="90"/>
  <c r="R20" i="90"/>
  <c r="P20" i="90"/>
  <c r="N20" i="90"/>
  <c r="L20" i="90"/>
  <c r="H20" i="90"/>
  <c r="F20" i="90"/>
  <c r="D20" i="90"/>
  <c r="B20" i="90"/>
  <c r="T19" i="90"/>
  <c r="P19" i="90"/>
  <c r="X19" i="90" s="1"/>
  <c r="H19" i="90"/>
  <c r="F19" i="90"/>
  <c r="D19" i="90"/>
  <c r="L19" i="90" s="1"/>
  <c r="N19" i="90" s="1"/>
  <c r="T17" i="90"/>
  <c r="P17" i="90"/>
  <c r="P40" i="90" s="1"/>
  <c r="F17" i="90"/>
  <c r="D17" i="90"/>
  <c r="Z15" i="90"/>
  <c r="X15" i="90"/>
  <c r="R15" i="90"/>
  <c r="N15" i="90"/>
  <c r="L15" i="90"/>
  <c r="B15" i="90"/>
  <c r="Z14" i="90"/>
  <c r="X14" i="90"/>
  <c r="T14" i="90"/>
  <c r="P14" i="90"/>
  <c r="N14" i="90"/>
  <c r="H14" i="90"/>
  <c r="L14" i="90" s="1"/>
  <c r="D14" i="90"/>
  <c r="T12" i="90"/>
  <c r="V40" i="90" s="1"/>
  <c r="P12" i="90"/>
  <c r="R40" i="90" s="1"/>
  <c r="H12" i="90"/>
  <c r="J44" i="90" s="1"/>
  <c r="D12" i="90"/>
  <c r="F15" i="90" s="1"/>
  <c r="D6" i="90"/>
  <c r="D4" i="90"/>
  <c r="R37" i="89"/>
  <c r="J37" i="89"/>
  <c r="F37" i="89"/>
  <c r="R34" i="89"/>
  <c r="J34" i="89"/>
  <c r="F34" i="89"/>
  <c r="Z32" i="89"/>
  <c r="X32" i="89"/>
  <c r="N32" i="89"/>
  <c r="L32" i="89"/>
  <c r="V30" i="89"/>
  <c r="J30" i="89"/>
  <c r="Z28" i="89"/>
  <c r="V28" i="89"/>
  <c r="T28" i="89"/>
  <c r="X28" i="89" s="1"/>
  <c r="P28" i="89"/>
  <c r="N28" i="89"/>
  <c r="L28" i="89"/>
  <c r="J28" i="89"/>
  <c r="H28" i="89"/>
  <c r="D28" i="89"/>
  <c r="Z26" i="89"/>
  <c r="X26" i="89"/>
  <c r="V26" i="89"/>
  <c r="R26" i="89"/>
  <c r="N26" i="89"/>
  <c r="L26" i="89"/>
  <c r="J26" i="89"/>
  <c r="B26" i="89"/>
  <c r="T25" i="89"/>
  <c r="Z25" i="89" s="1"/>
  <c r="P25" i="89"/>
  <c r="X25" i="89" s="1"/>
  <c r="N25" i="89"/>
  <c r="H25" i="89"/>
  <c r="D25" i="89"/>
  <c r="L25" i="89" s="1"/>
  <c r="B25" i="89"/>
  <c r="Z24" i="89"/>
  <c r="X24" i="89"/>
  <c r="V24" i="89"/>
  <c r="N24" i="89"/>
  <c r="L24" i="89"/>
  <c r="B24" i="89"/>
  <c r="Z23" i="89"/>
  <c r="T23" i="89"/>
  <c r="P23" i="89"/>
  <c r="X23" i="89" s="1"/>
  <c r="L23" i="89"/>
  <c r="J23" i="89"/>
  <c r="H23" i="89"/>
  <c r="N23" i="89" s="1"/>
  <c r="D23" i="89"/>
  <c r="B23" i="89"/>
  <c r="Z22" i="89"/>
  <c r="X22" i="89"/>
  <c r="N22" i="89"/>
  <c r="L22" i="89"/>
  <c r="J22" i="89"/>
  <c r="F22" i="89"/>
  <c r="B22" i="89"/>
  <c r="T21" i="89"/>
  <c r="P21" i="89"/>
  <c r="L21" i="89"/>
  <c r="H21" i="89"/>
  <c r="N21" i="89" s="1"/>
  <c r="F21" i="89"/>
  <c r="D21" i="89"/>
  <c r="B21" i="89"/>
  <c r="Z20" i="89"/>
  <c r="X20" i="89"/>
  <c r="V20" i="89"/>
  <c r="L20" i="89"/>
  <c r="N20" i="89" s="1"/>
  <c r="J20" i="89"/>
  <c r="B20" i="89"/>
  <c r="T19" i="89"/>
  <c r="P19" i="89"/>
  <c r="X19" i="89" s="1"/>
  <c r="Z19" i="89" s="1"/>
  <c r="H19" i="89"/>
  <c r="D19" i="89"/>
  <c r="B19" i="89"/>
  <c r="T18" i="89"/>
  <c r="Z18" i="89" s="1"/>
  <c r="R18" i="89"/>
  <c r="P18" i="89"/>
  <c r="X18" i="89" s="1"/>
  <c r="J18" i="89"/>
  <c r="H18" i="89"/>
  <c r="N18" i="89" s="1"/>
  <c r="F18" i="89"/>
  <c r="D18" i="89"/>
  <c r="L18" i="89" s="1"/>
  <c r="R16" i="89"/>
  <c r="J16" i="89"/>
  <c r="F16" i="89"/>
  <c r="T14" i="89"/>
  <c r="Z14" i="89" s="1"/>
  <c r="R14" i="89"/>
  <c r="P14" i="89"/>
  <c r="X14" i="89" s="1"/>
  <c r="J14" i="89"/>
  <c r="H14" i="89"/>
  <c r="N14" i="89" s="1"/>
  <c r="F14" i="89"/>
  <c r="D14" i="89"/>
  <c r="D16" i="89" s="1"/>
  <c r="T12" i="89"/>
  <c r="Z12" i="89" s="1"/>
  <c r="P12" i="89"/>
  <c r="R30" i="89" s="1"/>
  <c r="N12" i="89"/>
  <c r="L12" i="89"/>
  <c r="H12" i="89"/>
  <c r="J24" i="89" s="1"/>
  <c r="D12" i="89"/>
  <c r="F24" i="89" s="1"/>
  <c r="D6" i="89"/>
  <c r="D4" i="89"/>
  <c r="F60" i="88"/>
  <c r="Z58" i="88"/>
  <c r="X58" i="88"/>
  <c r="N58" i="88"/>
  <c r="L58" i="88"/>
  <c r="F56" i="88"/>
  <c r="P54" i="88"/>
  <c r="X54" i="88" s="1"/>
  <c r="Z54" i="88" s="1"/>
  <c r="D54" i="88"/>
  <c r="L54" i="88" s="1"/>
  <c r="N54" i="88" s="1"/>
  <c r="B54" i="88"/>
  <c r="R53" i="88"/>
  <c r="P53" i="88"/>
  <c r="X53" i="88" s="1"/>
  <c r="Z53" i="88" s="1"/>
  <c r="N53" i="88"/>
  <c r="L53" i="88"/>
  <c r="D53" i="88"/>
  <c r="B53" i="88"/>
  <c r="P52" i="88"/>
  <c r="X52" i="88" s="1"/>
  <c r="Z52" i="88" s="1"/>
  <c r="L52" i="88"/>
  <c r="N52" i="88" s="1"/>
  <c r="D52" i="88"/>
  <c r="B52" i="88"/>
  <c r="T51" i="88"/>
  <c r="P51" i="88"/>
  <c r="X51" i="88" s="1"/>
  <c r="Z51" i="88" s="1"/>
  <c r="L51" i="88"/>
  <c r="N51" i="88" s="1"/>
  <c r="H51" i="88"/>
  <c r="D51" i="88"/>
  <c r="Z49" i="88"/>
  <c r="X49" i="88"/>
  <c r="N49" i="88"/>
  <c r="L49" i="88"/>
  <c r="B49" i="88"/>
  <c r="T48" i="88"/>
  <c r="Z48" i="88" s="1"/>
  <c r="R48" i="88"/>
  <c r="P48" i="88"/>
  <c r="X48" i="88" s="1"/>
  <c r="H48" i="88"/>
  <c r="N48" i="88" s="1"/>
  <c r="F48" i="88"/>
  <c r="D48" i="88"/>
  <c r="L48" i="88" s="1"/>
  <c r="B48" i="88"/>
  <c r="X47" i="88"/>
  <c r="Z47" i="88" s="1"/>
  <c r="L47" i="88"/>
  <c r="N47" i="88" s="1"/>
  <c r="F47" i="88"/>
  <c r="B47" i="88"/>
  <c r="Z46" i="88"/>
  <c r="X46" i="88"/>
  <c r="T46" i="88"/>
  <c r="P46" i="88"/>
  <c r="N46" i="88"/>
  <c r="H46" i="88"/>
  <c r="F46" i="88"/>
  <c r="D46" i="88"/>
  <c r="L46" i="88" s="1"/>
  <c r="B46" i="88"/>
  <c r="Z45" i="88"/>
  <c r="X45" i="88"/>
  <c r="L45" i="88"/>
  <c r="N45" i="88" s="1"/>
  <c r="B45" i="88"/>
  <c r="Z44" i="88"/>
  <c r="T44" i="88"/>
  <c r="X44" i="88" s="1"/>
  <c r="P44" i="88"/>
  <c r="N44" i="88"/>
  <c r="L44" i="88"/>
  <c r="H44" i="88"/>
  <c r="D44" i="88"/>
  <c r="B44" i="88"/>
  <c r="Z43" i="88"/>
  <c r="X43" i="88"/>
  <c r="N43" i="88"/>
  <c r="L43" i="88"/>
  <c r="F43" i="88"/>
  <c r="B43" i="88"/>
  <c r="Z42" i="88"/>
  <c r="X42" i="88"/>
  <c r="N42" i="88"/>
  <c r="L42" i="88"/>
  <c r="B42" i="88"/>
  <c r="Z41" i="88"/>
  <c r="X41" i="88"/>
  <c r="T41" i="88"/>
  <c r="P41" i="88"/>
  <c r="N41" i="88"/>
  <c r="L41" i="88"/>
  <c r="H41" i="88"/>
  <c r="D41" i="88"/>
  <c r="B41" i="88"/>
  <c r="Z40" i="88"/>
  <c r="X40" i="88"/>
  <c r="N40" i="88"/>
  <c r="L40" i="88"/>
  <c r="B40" i="88"/>
  <c r="T39" i="88"/>
  <c r="P39" i="88"/>
  <c r="H39" i="88"/>
  <c r="N39" i="88" s="1"/>
  <c r="D39" i="88"/>
  <c r="B39" i="88"/>
  <c r="Z38" i="88"/>
  <c r="X38" i="88"/>
  <c r="N38" i="88"/>
  <c r="L38" i="88"/>
  <c r="B38" i="88"/>
  <c r="Z37" i="88"/>
  <c r="X37" i="88"/>
  <c r="N37" i="88"/>
  <c r="L37" i="88"/>
  <c r="B37" i="88"/>
  <c r="Z36" i="88"/>
  <c r="X36" i="88"/>
  <c r="N36" i="88"/>
  <c r="L36" i="88"/>
  <c r="B36" i="88"/>
  <c r="Z35" i="88"/>
  <c r="X35" i="88"/>
  <c r="N35" i="88"/>
  <c r="L35" i="88"/>
  <c r="B35" i="88"/>
  <c r="Z34" i="88"/>
  <c r="X34" i="88"/>
  <c r="N34" i="88"/>
  <c r="L34" i="88"/>
  <c r="B34" i="88"/>
  <c r="Z33" i="88"/>
  <c r="X33" i="88"/>
  <c r="N33" i="88"/>
  <c r="L33" i="88"/>
  <c r="B33" i="88"/>
  <c r="Z32" i="88"/>
  <c r="X32" i="88"/>
  <c r="N32" i="88"/>
  <c r="L32" i="88"/>
  <c r="B32" i="88"/>
  <c r="Z31" i="88"/>
  <c r="X31" i="88"/>
  <c r="R31" i="88"/>
  <c r="N31" i="88"/>
  <c r="L31" i="88"/>
  <c r="B31" i="88"/>
  <c r="Z30" i="88"/>
  <c r="X30" i="88"/>
  <c r="N30" i="88"/>
  <c r="L30" i="88"/>
  <c r="B30" i="88"/>
  <c r="Z29" i="88"/>
  <c r="X29" i="88"/>
  <c r="R29" i="88"/>
  <c r="L29" i="88"/>
  <c r="N29" i="88" s="1"/>
  <c r="B29" i="88"/>
  <c r="T28" i="88"/>
  <c r="Z28" i="88" s="1"/>
  <c r="P28" i="88"/>
  <c r="X28" i="88" s="1"/>
  <c r="L28" i="88"/>
  <c r="N28" i="88" s="1"/>
  <c r="H28" i="88"/>
  <c r="D28" i="88"/>
  <c r="B28" i="88"/>
  <c r="Z27" i="88"/>
  <c r="X27" i="88"/>
  <c r="N27" i="88"/>
  <c r="L27" i="88"/>
  <c r="B27" i="88"/>
  <c r="X26" i="88"/>
  <c r="Z26" i="88" s="1"/>
  <c r="V26" i="88"/>
  <c r="L26" i="88"/>
  <c r="N26" i="88" s="1"/>
  <c r="B26" i="88"/>
  <c r="Z25" i="88"/>
  <c r="X25" i="88"/>
  <c r="N25" i="88"/>
  <c r="L25" i="88"/>
  <c r="F25" i="88"/>
  <c r="B25" i="88"/>
  <c r="X24" i="88"/>
  <c r="Z24" i="88" s="1"/>
  <c r="R24" i="88"/>
  <c r="L24" i="88"/>
  <c r="N24" i="88" s="1"/>
  <c r="B24" i="88"/>
  <c r="X23" i="88"/>
  <c r="Z23" i="88" s="1"/>
  <c r="L23" i="88"/>
  <c r="N23" i="88" s="1"/>
  <c r="B23" i="88"/>
  <c r="X22" i="88"/>
  <c r="Z22" i="88" s="1"/>
  <c r="N22" i="88"/>
  <c r="L22" i="88"/>
  <c r="B22" i="88"/>
  <c r="X21" i="88"/>
  <c r="Z21" i="88" s="1"/>
  <c r="R21" i="88"/>
  <c r="L21" i="88"/>
  <c r="N21" i="88" s="1"/>
  <c r="F21" i="88"/>
  <c r="B21" i="88"/>
  <c r="Z20" i="88"/>
  <c r="X20" i="88"/>
  <c r="V20" i="88"/>
  <c r="R20" i="88"/>
  <c r="N20" i="88"/>
  <c r="L20" i="88"/>
  <c r="B20" i="88"/>
  <c r="T19" i="88"/>
  <c r="Z19" i="88" s="1"/>
  <c r="P19" i="88"/>
  <c r="X19" i="88" s="1"/>
  <c r="L19" i="88"/>
  <c r="N19" i="88" s="1"/>
  <c r="H19" i="88"/>
  <c r="D19" i="88"/>
  <c r="B19" i="88"/>
  <c r="T18" i="88"/>
  <c r="R18" i="88"/>
  <c r="P18" i="88"/>
  <c r="X18" i="88" s="1"/>
  <c r="Z18" i="88" s="1"/>
  <c r="H18" i="88"/>
  <c r="F18" i="88"/>
  <c r="D18" i="88"/>
  <c r="L18" i="88" s="1"/>
  <c r="N18" i="88" s="1"/>
  <c r="R16" i="88"/>
  <c r="F16" i="88"/>
  <c r="Z14" i="88"/>
  <c r="T14" i="88"/>
  <c r="R14" i="88"/>
  <c r="P14" i="88"/>
  <c r="X14" i="88" s="1"/>
  <c r="N14" i="88"/>
  <c r="H14" i="88"/>
  <c r="F14" i="88"/>
  <c r="D14" i="88"/>
  <c r="D16" i="88" s="1"/>
  <c r="T12" i="88"/>
  <c r="T16" i="88" s="1"/>
  <c r="P12" i="88"/>
  <c r="H12" i="88"/>
  <c r="J35" i="88" s="1"/>
  <c r="D12" i="88"/>
  <c r="D6" i="88"/>
  <c r="D4" i="88"/>
  <c r="J35" i="87"/>
  <c r="J32" i="87"/>
  <c r="Z30" i="87"/>
  <c r="X30" i="87"/>
  <c r="N30" i="87"/>
  <c r="L30" i="87"/>
  <c r="J30" i="87"/>
  <c r="Z26" i="87"/>
  <c r="T26" i="87"/>
  <c r="P26" i="87"/>
  <c r="X26" i="87" s="1"/>
  <c r="N26" i="87"/>
  <c r="H26" i="87"/>
  <c r="D26" i="87"/>
  <c r="L26" i="87" s="1"/>
  <c r="Z24" i="87"/>
  <c r="X24" i="87"/>
  <c r="N24" i="87"/>
  <c r="L24" i="87"/>
  <c r="B24" i="87"/>
  <c r="T23" i="87"/>
  <c r="P23" i="87"/>
  <c r="N23" i="87"/>
  <c r="H23" i="87"/>
  <c r="D23" i="87"/>
  <c r="L23" i="87" s="1"/>
  <c r="B23" i="87"/>
  <c r="Z22" i="87"/>
  <c r="X22" i="87"/>
  <c r="N22" i="87"/>
  <c r="L22" i="87"/>
  <c r="B22" i="87"/>
  <c r="T21" i="87"/>
  <c r="Z21" i="87" s="1"/>
  <c r="P21" i="87"/>
  <c r="X21" i="87" s="1"/>
  <c r="J21" i="87"/>
  <c r="H21" i="87"/>
  <c r="N21" i="87" s="1"/>
  <c r="D21" i="87"/>
  <c r="L21" i="87" s="1"/>
  <c r="B21" i="87"/>
  <c r="T20" i="87"/>
  <c r="Z20" i="87" s="1"/>
  <c r="R20" i="87"/>
  <c r="P20" i="87"/>
  <c r="N20" i="87"/>
  <c r="L20" i="87"/>
  <c r="H20" i="87"/>
  <c r="D20" i="87"/>
  <c r="T16" i="87"/>
  <c r="Z16" i="87" s="1"/>
  <c r="R16" i="87"/>
  <c r="P16" i="87"/>
  <c r="N16" i="87"/>
  <c r="L16" i="87"/>
  <c r="H16" i="87"/>
  <c r="D16" i="87"/>
  <c r="Z14" i="87"/>
  <c r="P14" i="87"/>
  <c r="X14" i="87" s="1"/>
  <c r="N14" i="87"/>
  <c r="L14" i="87"/>
  <c r="D14" i="87"/>
  <c r="B14" i="87"/>
  <c r="Z13" i="87"/>
  <c r="X13" i="87"/>
  <c r="P13" i="87"/>
  <c r="P12" i="87" s="1"/>
  <c r="N13" i="87"/>
  <c r="D13" i="87"/>
  <c r="D12" i="87" s="1"/>
  <c r="B13" i="87"/>
  <c r="T12" i="87"/>
  <c r="H12" i="87"/>
  <c r="N12" i="87" s="1"/>
  <c r="D6" i="87"/>
  <c r="D4" i="87"/>
  <c r="Z88" i="86"/>
  <c r="X88" i="86"/>
  <c r="N88" i="86"/>
  <c r="L88" i="86"/>
  <c r="J86" i="86"/>
  <c r="Z84" i="86"/>
  <c r="P84" i="86"/>
  <c r="X84" i="86" s="1"/>
  <c r="N84" i="86"/>
  <c r="L84" i="86"/>
  <c r="D84" i="86"/>
  <c r="B84" i="86"/>
  <c r="Z83" i="86"/>
  <c r="T83" i="86"/>
  <c r="P83" i="86"/>
  <c r="X83" i="86" s="1"/>
  <c r="H83" i="86"/>
  <c r="D83" i="86"/>
  <c r="Z81" i="86"/>
  <c r="X81" i="86"/>
  <c r="N81" i="86"/>
  <c r="L81" i="86"/>
  <c r="B81" i="86"/>
  <c r="Z80" i="86"/>
  <c r="T80" i="86"/>
  <c r="P80" i="86"/>
  <c r="X80" i="86" s="1"/>
  <c r="N80" i="86"/>
  <c r="H80" i="86"/>
  <c r="D80" i="86"/>
  <c r="L80" i="86" s="1"/>
  <c r="B80" i="86"/>
  <c r="Z79" i="86"/>
  <c r="X79" i="86"/>
  <c r="N79" i="86"/>
  <c r="L79" i="86"/>
  <c r="B79" i="86"/>
  <c r="Z78" i="86"/>
  <c r="X78" i="86"/>
  <c r="N78" i="86"/>
  <c r="L78" i="86"/>
  <c r="B78" i="86"/>
  <c r="T77" i="86"/>
  <c r="Z77" i="86" s="1"/>
  <c r="P77" i="86"/>
  <c r="X77" i="86" s="1"/>
  <c r="J77" i="86"/>
  <c r="H77" i="86"/>
  <c r="N77" i="86" s="1"/>
  <c r="D77" i="86"/>
  <c r="L77" i="86" s="1"/>
  <c r="B77" i="86"/>
  <c r="Z76" i="86"/>
  <c r="X76" i="86"/>
  <c r="N76" i="86"/>
  <c r="L76" i="86"/>
  <c r="B76" i="86"/>
  <c r="Z75" i="86"/>
  <c r="X75" i="86"/>
  <c r="N75" i="86"/>
  <c r="L75" i="86"/>
  <c r="F75" i="86"/>
  <c r="B75" i="86"/>
  <c r="Z74" i="86"/>
  <c r="X74" i="86"/>
  <c r="N74" i="86"/>
  <c r="L74" i="86"/>
  <c r="B74" i="86"/>
  <c r="Z73" i="86"/>
  <c r="X73" i="86"/>
  <c r="N73" i="86"/>
  <c r="L73" i="86"/>
  <c r="B73" i="86"/>
  <c r="Z72" i="86"/>
  <c r="X72" i="86"/>
  <c r="N72" i="86"/>
  <c r="L72" i="86"/>
  <c r="B72" i="86"/>
  <c r="Z71" i="86"/>
  <c r="X71" i="86"/>
  <c r="N71" i="86"/>
  <c r="L71" i="86"/>
  <c r="F71" i="86"/>
  <c r="B71" i="86"/>
  <c r="Z70" i="86"/>
  <c r="X70" i="86"/>
  <c r="N70" i="86"/>
  <c r="L70" i="86"/>
  <c r="B70" i="86"/>
  <c r="Z69" i="86"/>
  <c r="X69" i="86"/>
  <c r="N69" i="86"/>
  <c r="L69" i="86"/>
  <c r="B69" i="86"/>
  <c r="Z68" i="86"/>
  <c r="X68" i="86"/>
  <c r="N68" i="86"/>
  <c r="L68" i="86"/>
  <c r="B68" i="86"/>
  <c r="Z67" i="86"/>
  <c r="X67" i="86"/>
  <c r="N67" i="86"/>
  <c r="L67" i="86"/>
  <c r="F67" i="86"/>
  <c r="B67" i="86"/>
  <c r="Z66" i="86"/>
  <c r="X66" i="86"/>
  <c r="T66" i="86"/>
  <c r="P66" i="86"/>
  <c r="H66" i="86"/>
  <c r="N66" i="86" s="1"/>
  <c r="F66" i="86"/>
  <c r="D66" i="86"/>
  <c r="B66" i="86"/>
  <c r="Z65" i="86"/>
  <c r="X65" i="86"/>
  <c r="N65" i="86"/>
  <c r="L65" i="86"/>
  <c r="B65" i="86"/>
  <c r="Z64" i="86"/>
  <c r="X64" i="86"/>
  <c r="N64" i="86"/>
  <c r="L64" i="86"/>
  <c r="B64" i="86"/>
  <c r="T63" i="86"/>
  <c r="P63" i="86"/>
  <c r="N63" i="86"/>
  <c r="H63" i="86"/>
  <c r="D63" i="86"/>
  <c r="L63" i="86" s="1"/>
  <c r="B63" i="86"/>
  <c r="Z62" i="86"/>
  <c r="X62" i="86"/>
  <c r="N62" i="86"/>
  <c r="L62" i="86"/>
  <c r="B62" i="86"/>
  <c r="Z61" i="86"/>
  <c r="X61" i="86"/>
  <c r="N61" i="86"/>
  <c r="L61" i="86"/>
  <c r="B61" i="86"/>
  <c r="T60" i="86"/>
  <c r="Z60" i="86" s="1"/>
  <c r="P60" i="86"/>
  <c r="X60" i="86" s="1"/>
  <c r="N60" i="86"/>
  <c r="J60" i="86"/>
  <c r="H60" i="86"/>
  <c r="D60" i="86"/>
  <c r="L60" i="86" s="1"/>
  <c r="B60" i="86"/>
  <c r="Z59" i="86"/>
  <c r="X59" i="86"/>
  <c r="N59" i="86"/>
  <c r="L59" i="86"/>
  <c r="F59" i="86"/>
  <c r="B59" i="86"/>
  <c r="Z58" i="86"/>
  <c r="X58" i="86"/>
  <c r="N58" i="86"/>
  <c r="L58" i="86"/>
  <c r="B58" i="86"/>
  <c r="Z57" i="86"/>
  <c r="X57" i="86"/>
  <c r="N57" i="86"/>
  <c r="L57" i="86"/>
  <c r="B57" i="86"/>
  <c r="T56" i="86"/>
  <c r="Z56" i="86" s="1"/>
  <c r="P56" i="86"/>
  <c r="N56" i="86"/>
  <c r="L56" i="86"/>
  <c r="H56" i="86"/>
  <c r="D56" i="86"/>
  <c r="B56" i="86"/>
  <c r="X55" i="86"/>
  <c r="Z55" i="86" s="1"/>
  <c r="N55" i="86"/>
  <c r="L55" i="86"/>
  <c r="J55" i="86"/>
  <c r="B55" i="86"/>
  <c r="T54" i="86"/>
  <c r="P54" i="86"/>
  <c r="X54" i="86" s="1"/>
  <c r="Z54" i="86" s="1"/>
  <c r="N54" i="86"/>
  <c r="H54" i="86"/>
  <c r="L54" i="86" s="1"/>
  <c r="D54" i="86"/>
  <c r="B54" i="86"/>
  <c r="Z53" i="86"/>
  <c r="X53" i="86"/>
  <c r="N53" i="86"/>
  <c r="L53" i="86"/>
  <c r="B53" i="86"/>
  <c r="T52" i="86"/>
  <c r="Z52" i="86" s="1"/>
  <c r="P52" i="86"/>
  <c r="X52" i="86" s="1"/>
  <c r="N52" i="86"/>
  <c r="J52" i="86"/>
  <c r="H52" i="86"/>
  <c r="D52" i="86"/>
  <c r="L52" i="86" s="1"/>
  <c r="B52" i="86"/>
  <c r="Z51" i="86"/>
  <c r="X51" i="86"/>
  <c r="N51" i="86"/>
  <c r="L51" i="86"/>
  <c r="F51" i="86"/>
  <c r="B51" i="86"/>
  <c r="Z50" i="86"/>
  <c r="X50" i="86"/>
  <c r="T50" i="86"/>
  <c r="P50" i="86"/>
  <c r="N50" i="86"/>
  <c r="H50" i="86"/>
  <c r="D50" i="86"/>
  <c r="L50" i="86" s="1"/>
  <c r="B50" i="86"/>
  <c r="Z49" i="86"/>
  <c r="X49" i="86"/>
  <c r="L49" i="86"/>
  <c r="N49" i="86" s="1"/>
  <c r="B49" i="86"/>
  <c r="Z48" i="86"/>
  <c r="X48" i="86"/>
  <c r="N48" i="86"/>
  <c r="L48" i="86"/>
  <c r="B48" i="86"/>
  <c r="T47" i="86"/>
  <c r="P47" i="86"/>
  <c r="H47" i="86"/>
  <c r="D47" i="86"/>
  <c r="L47" i="86" s="1"/>
  <c r="N47" i="86" s="1"/>
  <c r="B47" i="86"/>
  <c r="Z46" i="86"/>
  <c r="X46" i="86"/>
  <c r="V46" i="86"/>
  <c r="N46" i="86"/>
  <c r="L46" i="86"/>
  <c r="B46" i="86"/>
  <c r="T45" i="86"/>
  <c r="Z45" i="86" s="1"/>
  <c r="P45" i="86"/>
  <c r="X45" i="86" s="1"/>
  <c r="J45" i="86"/>
  <c r="H45" i="86"/>
  <c r="N45" i="86" s="1"/>
  <c r="D45" i="86"/>
  <c r="L45" i="86" s="1"/>
  <c r="B45" i="86"/>
  <c r="Z44" i="86"/>
  <c r="X44" i="86"/>
  <c r="N44" i="86"/>
  <c r="L44" i="86"/>
  <c r="B44" i="86"/>
  <c r="T43" i="86"/>
  <c r="Z43" i="86" s="1"/>
  <c r="P43" i="86"/>
  <c r="X43" i="86" s="1"/>
  <c r="N43" i="86"/>
  <c r="L43" i="86"/>
  <c r="H43" i="86"/>
  <c r="D43" i="86"/>
  <c r="B43" i="86"/>
  <c r="Z42" i="86"/>
  <c r="X42" i="86"/>
  <c r="N42" i="86"/>
  <c r="L42" i="86"/>
  <c r="J42" i="86"/>
  <c r="B42" i="86"/>
  <c r="Z41" i="86"/>
  <c r="X41" i="86"/>
  <c r="N41" i="86"/>
  <c r="L41" i="86"/>
  <c r="B41" i="86"/>
  <c r="Z40" i="86"/>
  <c r="X40" i="86"/>
  <c r="N40" i="86"/>
  <c r="L40" i="86"/>
  <c r="B40" i="86"/>
  <c r="Z39" i="86"/>
  <c r="X39" i="86"/>
  <c r="N39" i="86"/>
  <c r="L39" i="86"/>
  <c r="J39" i="86"/>
  <c r="B39" i="86"/>
  <c r="Z38" i="86"/>
  <c r="X38" i="86"/>
  <c r="N38" i="86"/>
  <c r="L38" i="86"/>
  <c r="J38" i="86"/>
  <c r="B38" i="86"/>
  <c r="Z37" i="86"/>
  <c r="X37" i="86"/>
  <c r="N37" i="86"/>
  <c r="L37" i="86"/>
  <c r="B37" i="86"/>
  <c r="Z36" i="86"/>
  <c r="X36" i="86"/>
  <c r="N36" i="86"/>
  <c r="L36" i="86"/>
  <c r="B36" i="86"/>
  <c r="Z35" i="86"/>
  <c r="X35" i="86"/>
  <c r="N35" i="86"/>
  <c r="L35" i="86"/>
  <c r="J35" i="86"/>
  <c r="B35" i="86"/>
  <c r="Z34" i="86"/>
  <c r="X34" i="86"/>
  <c r="N34" i="86"/>
  <c r="L34" i="86"/>
  <c r="J34" i="86"/>
  <c r="B34" i="86"/>
  <c r="Z33" i="86"/>
  <c r="X33" i="86"/>
  <c r="N33" i="86"/>
  <c r="L33" i="86"/>
  <c r="B33" i="86"/>
  <c r="Z32" i="86"/>
  <c r="T32" i="86"/>
  <c r="P32" i="86"/>
  <c r="X32" i="86" s="1"/>
  <c r="N32" i="86"/>
  <c r="J32" i="86"/>
  <c r="H32" i="86"/>
  <c r="D32" i="86"/>
  <c r="L32" i="86" s="1"/>
  <c r="B32" i="86"/>
  <c r="Z31" i="86"/>
  <c r="X31" i="86"/>
  <c r="N31" i="86"/>
  <c r="L31" i="86"/>
  <c r="B31" i="86"/>
  <c r="Z30" i="86"/>
  <c r="X30" i="86"/>
  <c r="N30" i="86"/>
  <c r="L30" i="86"/>
  <c r="B30" i="86"/>
  <c r="Z29" i="86"/>
  <c r="X29" i="86"/>
  <c r="N29" i="86"/>
  <c r="L29" i="86"/>
  <c r="B29" i="86"/>
  <c r="Z28" i="86"/>
  <c r="X28" i="86"/>
  <c r="N28" i="86"/>
  <c r="L28" i="86"/>
  <c r="B28" i="86"/>
  <c r="Z27" i="86"/>
  <c r="X27" i="86"/>
  <c r="N27" i="86"/>
  <c r="L27" i="86"/>
  <c r="B27" i="86"/>
  <c r="Z26" i="86"/>
  <c r="X26" i="86"/>
  <c r="N26" i="86"/>
  <c r="L26" i="86"/>
  <c r="B26" i="86"/>
  <c r="Z25" i="86"/>
  <c r="X25" i="86"/>
  <c r="N25" i="86"/>
  <c r="L25" i="86"/>
  <c r="B25" i="86"/>
  <c r="Z24" i="86"/>
  <c r="X24" i="86"/>
  <c r="N24" i="86"/>
  <c r="L24" i="86"/>
  <c r="B24" i="86"/>
  <c r="T23" i="86"/>
  <c r="Z23" i="86" s="1"/>
  <c r="P23" i="86"/>
  <c r="X23" i="86" s="1"/>
  <c r="H23" i="86"/>
  <c r="N23" i="86" s="1"/>
  <c r="D23" i="86"/>
  <c r="L23" i="86" s="1"/>
  <c r="B23" i="86"/>
  <c r="X22" i="86"/>
  <c r="T22" i="86"/>
  <c r="Z22" i="86" s="1"/>
  <c r="P22" i="86"/>
  <c r="J22" i="86"/>
  <c r="H22" i="86"/>
  <c r="F22" i="86"/>
  <c r="D22" i="86"/>
  <c r="L22" i="86" s="1"/>
  <c r="N22" i="86" s="1"/>
  <c r="N20" i="86"/>
  <c r="J20" i="86"/>
  <c r="H20" i="86"/>
  <c r="H86" i="86" s="1"/>
  <c r="F20" i="86"/>
  <c r="Z18" i="86"/>
  <c r="X18" i="86"/>
  <c r="N18" i="86"/>
  <c r="L18" i="86"/>
  <c r="J18" i="86"/>
  <c r="B18" i="86"/>
  <c r="Z17" i="86"/>
  <c r="X17" i="86"/>
  <c r="N17" i="86"/>
  <c r="L17" i="86"/>
  <c r="J17" i="86"/>
  <c r="B17" i="86"/>
  <c r="Z16" i="86"/>
  <c r="T16" i="86"/>
  <c r="P16" i="86"/>
  <c r="X16" i="86" s="1"/>
  <c r="L16" i="86"/>
  <c r="H16" i="86"/>
  <c r="N16" i="86" s="1"/>
  <c r="D16" i="86"/>
  <c r="Z14" i="86"/>
  <c r="P14" i="86"/>
  <c r="X14" i="86" s="1"/>
  <c r="N14" i="86"/>
  <c r="L14" i="86"/>
  <c r="D14" i="86"/>
  <c r="B14" i="86"/>
  <c r="Z13" i="86"/>
  <c r="P13" i="86"/>
  <c r="X13" i="86" s="1"/>
  <c r="N13" i="86"/>
  <c r="D13" i="86"/>
  <c r="D12" i="86" s="1"/>
  <c r="B13" i="86"/>
  <c r="T12" i="86"/>
  <c r="V78" i="86" s="1"/>
  <c r="N12" i="86"/>
  <c r="H12" i="86"/>
  <c r="J88" i="86" s="1"/>
  <c r="D6" i="86"/>
  <c r="D4" i="86"/>
  <c r="Z101" i="85"/>
  <c r="X101" i="85"/>
  <c r="N101" i="85"/>
  <c r="L101" i="85"/>
  <c r="T97" i="85"/>
  <c r="Z97" i="85" s="1"/>
  <c r="P97" i="85"/>
  <c r="H97" i="85"/>
  <c r="N97" i="85" s="1"/>
  <c r="D97" i="85"/>
  <c r="L97" i="85" s="1"/>
  <c r="X95" i="85"/>
  <c r="Z95" i="85" s="1"/>
  <c r="N95" i="85"/>
  <c r="L95" i="85"/>
  <c r="B95" i="85"/>
  <c r="T94" i="85"/>
  <c r="P94" i="85"/>
  <c r="X94" i="85" s="1"/>
  <c r="Z94" i="85" s="1"/>
  <c r="H94" i="85"/>
  <c r="D94" i="85"/>
  <c r="L94" i="85" s="1"/>
  <c r="N94" i="85" s="1"/>
  <c r="B94" i="85"/>
  <c r="Z93" i="85"/>
  <c r="X93" i="85"/>
  <c r="N93" i="85"/>
  <c r="L93" i="85"/>
  <c r="B93" i="85"/>
  <c r="Z92" i="85"/>
  <c r="X92" i="85"/>
  <c r="N92" i="85"/>
  <c r="L92" i="85"/>
  <c r="B92" i="85"/>
  <c r="Z91" i="85"/>
  <c r="T91" i="85"/>
  <c r="P91" i="85"/>
  <c r="X91" i="85" s="1"/>
  <c r="L91" i="85"/>
  <c r="H91" i="85"/>
  <c r="N91" i="85" s="1"/>
  <c r="D91" i="85"/>
  <c r="B91" i="85"/>
  <c r="Z90" i="85"/>
  <c r="X90" i="85"/>
  <c r="N90" i="85"/>
  <c r="L90" i="85"/>
  <c r="B90" i="85"/>
  <c r="Z89" i="85"/>
  <c r="T89" i="85"/>
  <c r="P89" i="85"/>
  <c r="X89" i="85" s="1"/>
  <c r="H89" i="85"/>
  <c r="N89" i="85" s="1"/>
  <c r="D89" i="85"/>
  <c r="L89" i="85" s="1"/>
  <c r="B89" i="85"/>
  <c r="X88" i="85"/>
  <c r="Z88" i="85" s="1"/>
  <c r="L88" i="85"/>
  <c r="N88" i="85" s="1"/>
  <c r="B88" i="85"/>
  <c r="X87" i="85"/>
  <c r="Z87" i="85" s="1"/>
  <c r="N87" i="85"/>
  <c r="L87" i="85"/>
  <c r="B87" i="85"/>
  <c r="T86" i="85"/>
  <c r="P86" i="85"/>
  <c r="X86" i="85" s="1"/>
  <c r="Z86" i="85" s="1"/>
  <c r="H86" i="85"/>
  <c r="D86" i="85"/>
  <c r="L86" i="85" s="1"/>
  <c r="N86" i="85" s="1"/>
  <c r="B86" i="85"/>
  <c r="X85" i="85"/>
  <c r="Z85" i="85" s="1"/>
  <c r="N85" i="85"/>
  <c r="L85" i="85"/>
  <c r="B85" i="85"/>
  <c r="X84" i="85"/>
  <c r="Z84" i="85" s="1"/>
  <c r="N84" i="85"/>
  <c r="L84" i="85"/>
  <c r="B84" i="85"/>
  <c r="Z83" i="85"/>
  <c r="X83" i="85"/>
  <c r="N83" i="85"/>
  <c r="L83" i="85"/>
  <c r="B83" i="85"/>
  <c r="Z82" i="85"/>
  <c r="X82" i="85"/>
  <c r="L82" i="85"/>
  <c r="N82" i="85" s="1"/>
  <c r="B82" i="85"/>
  <c r="X81" i="85"/>
  <c r="Z81" i="85" s="1"/>
  <c r="L81" i="85"/>
  <c r="N81" i="85" s="1"/>
  <c r="B81" i="85"/>
  <c r="X80" i="85"/>
  <c r="Z80" i="85" s="1"/>
  <c r="N80" i="85"/>
  <c r="L80" i="85"/>
  <c r="B80" i="85"/>
  <c r="Z79" i="85"/>
  <c r="X79" i="85"/>
  <c r="N79" i="85"/>
  <c r="L79" i="85"/>
  <c r="B79" i="85"/>
  <c r="X78" i="85"/>
  <c r="Z78" i="85" s="1"/>
  <c r="N78" i="85"/>
  <c r="L78" i="85"/>
  <c r="B78" i="85"/>
  <c r="X77" i="85"/>
  <c r="T77" i="85"/>
  <c r="P77" i="85"/>
  <c r="H77" i="85"/>
  <c r="D77" i="85"/>
  <c r="L77" i="85" s="1"/>
  <c r="N77" i="85" s="1"/>
  <c r="B77" i="85"/>
  <c r="Z76" i="85"/>
  <c r="X76" i="85"/>
  <c r="L76" i="85"/>
  <c r="N76" i="85" s="1"/>
  <c r="B76" i="85"/>
  <c r="T75" i="85"/>
  <c r="X75" i="85" s="1"/>
  <c r="P75" i="85"/>
  <c r="H75" i="85"/>
  <c r="D75" i="85"/>
  <c r="L75" i="85" s="1"/>
  <c r="N75" i="85" s="1"/>
  <c r="B75" i="85"/>
  <c r="Z74" i="85"/>
  <c r="X74" i="85"/>
  <c r="N74" i="85"/>
  <c r="L74" i="85"/>
  <c r="B74" i="85"/>
  <c r="X73" i="85"/>
  <c r="Z73" i="85" s="1"/>
  <c r="L73" i="85"/>
  <c r="N73" i="85" s="1"/>
  <c r="B73" i="85"/>
  <c r="X72" i="85"/>
  <c r="Z72" i="85" s="1"/>
  <c r="L72" i="85"/>
  <c r="N72" i="85" s="1"/>
  <c r="B72" i="85"/>
  <c r="X71" i="85"/>
  <c r="Z71" i="85" s="1"/>
  <c r="N71" i="85"/>
  <c r="L71" i="85"/>
  <c r="B71" i="85"/>
  <c r="Z70" i="85"/>
  <c r="X70" i="85"/>
  <c r="N70" i="85"/>
  <c r="L70" i="85"/>
  <c r="B70" i="85"/>
  <c r="T69" i="85"/>
  <c r="Z69" i="85" s="1"/>
  <c r="P69" i="85"/>
  <c r="X69" i="85" s="1"/>
  <c r="H69" i="85"/>
  <c r="D69" i="85"/>
  <c r="B69" i="85"/>
  <c r="X68" i="85"/>
  <c r="Z68" i="85" s="1"/>
  <c r="N68" i="85"/>
  <c r="L68" i="85"/>
  <c r="B68" i="85"/>
  <c r="Z67" i="85"/>
  <c r="X67" i="85"/>
  <c r="N67" i="85"/>
  <c r="L67" i="85"/>
  <c r="B67" i="85"/>
  <c r="T66" i="85"/>
  <c r="P66" i="85"/>
  <c r="L66" i="85"/>
  <c r="N66" i="85" s="1"/>
  <c r="H66" i="85"/>
  <c r="D66" i="85"/>
  <c r="B66" i="85"/>
  <c r="X65" i="85"/>
  <c r="Z65" i="85" s="1"/>
  <c r="L65" i="85"/>
  <c r="N65" i="85" s="1"/>
  <c r="B65" i="85"/>
  <c r="Z64" i="85"/>
  <c r="T64" i="85"/>
  <c r="P64" i="85"/>
  <c r="X64" i="85" s="1"/>
  <c r="H64" i="85"/>
  <c r="D64" i="85"/>
  <c r="B64" i="85"/>
  <c r="X63" i="85"/>
  <c r="Z63" i="85" s="1"/>
  <c r="N63" i="85"/>
  <c r="L63" i="85"/>
  <c r="B63" i="85"/>
  <c r="T62" i="85"/>
  <c r="P62" i="85"/>
  <c r="X62" i="85" s="1"/>
  <c r="Z62" i="85" s="1"/>
  <c r="H62" i="85"/>
  <c r="D62" i="85"/>
  <c r="L62" i="85" s="1"/>
  <c r="N62" i="85" s="1"/>
  <c r="B62" i="85"/>
  <c r="X61" i="85"/>
  <c r="Z61" i="85" s="1"/>
  <c r="N61" i="85"/>
  <c r="L61" i="85"/>
  <c r="B61" i="85"/>
  <c r="X60" i="85"/>
  <c r="Z60" i="85" s="1"/>
  <c r="T60" i="85"/>
  <c r="P60" i="85"/>
  <c r="H60" i="85"/>
  <c r="N60" i="85" s="1"/>
  <c r="D60" i="85"/>
  <c r="L60" i="85" s="1"/>
  <c r="B60" i="85"/>
  <c r="Z59" i="85"/>
  <c r="X59" i="85"/>
  <c r="L59" i="85"/>
  <c r="N59" i="85" s="1"/>
  <c r="B59" i="85"/>
  <c r="T58" i="85"/>
  <c r="P58" i="85"/>
  <c r="H58" i="85"/>
  <c r="D58" i="85"/>
  <c r="L58" i="85" s="1"/>
  <c r="N58" i="85" s="1"/>
  <c r="B58" i="85"/>
  <c r="X57" i="85"/>
  <c r="Z57" i="85" s="1"/>
  <c r="N57" i="85"/>
  <c r="L57" i="85"/>
  <c r="B57" i="85"/>
  <c r="X56" i="85"/>
  <c r="T56" i="85"/>
  <c r="Z56" i="85" s="1"/>
  <c r="P56" i="85"/>
  <c r="N56" i="85"/>
  <c r="H56" i="85"/>
  <c r="D56" i="85"/>
  <c r="L56" i="85" s="1"/>
  <c r="B56" i="85"/>
  <c r="Z55" i="85"/>
  <c r="X55" i="85"/>
  <c r="N55" i="85"/>
  <c r="L55" i="85"/>
  <c r="B55" i="85"/>
  <c r="Z54" i="85"/>
  <c r="X54" i="85"/>
  <c r="N54" i="85"/>
  <c r="L54" i="85"/>
  <c r="B54" i="85"/>
  <c r="X53" i="85"/>
  <c r="T53" i="85"/>
  <c r="Z53" i="85" s="1"/>
  <c r="P53" i="85"/>
  <c r="H53" i="85"/>
  <c r="D53" i="85"/>
  <c r="B53" i="85"/>
  <c r="Z52" i="85"/>
  <c r="X52" i="85"/>
  <c r="L52" i="85"/>
  <c r="N52" i="85" s="1"/>
  <c r="B52" i="85"/>
  <c r="T51" i="85"/>
  <c r="X51" i="85" s="1"/>
  <c r="Z51" i="85" s="1"/>
  <c r="P51" i="85"/>
  <c r="H51" i="85"/>
  <c r="D51" i="85"/>
  <c r="L51" i="85" s="1"/>
  <c r="N51" i="85" s="1"/>
  <c r="B51" i="85"/>
  <c r="Z50" i="85"/>
  <c r="X50" i="85"/>
  <c r="V50" i="85"/>
  <c r="N50" i="85"/>
  <c r="L50" i="85"/>
  <c r="B50" i="85"/>
  <c r="T49" i="85"/>
  <c r="Z49" i="85" s="1"/>
  <c r="P49" i="85"/>
  <c r="X49" i="85" s="1"/>
  <c r="H49" i="85"/>
  <c r="D49" i="85"/>
  <c r="L49" i="85" s="1"/>
  <c r="B49" i="85"/>
  <c r="X48" i="85"/>
  <c r="Z48" i="85" s="1"/>
  <c r="N48" i="85"/>
  <c r="L48" i="85"/>
  <c r="B48" i="85"/>
  <c r="T47" i="85"/>
  <c r="P47" i="85"/>
  <c r="H47" i="85"/>
  <c r="D47" i="85"/>
  <c r="L47" i="85" s="1"/>
  <c r="N47" i="85" s="1"/>
  <c r="B47" i="85"/>
  <c r="Z46" i="85"/>
  <c r="X46" i="85"/>
  <c r="R46" i="85"/>
  <c r="N46" i="85"/>
  <c r="L46" i="85"/>
  <c r="B46" i="85"/>
  <c r="Z45" i="85"/>
  <c r="X45" i="85"/>
  <c r="N45" i="85"/>
  <c r="L45" i="85"/>
  <c r="J45" i="85"/>
  <c r="B45" i="85"/>
  <c r="Z44" i="85"/>
  <c r="X44" i="85"/>
  <c r="N44" i="85"/>
  <c r="L44" i="85"/>
  <c r="B44" i="85"/>
  <c r="Z43" i="85"/>
  <c r="X43" i="85"/>
  <c r="N43" i="85"/>
  <c r="L43" i="85"/>
  <c r="B43" i="85"/>
  <c r="Z42" i="85"/>
  <c r="X42" i="85"/>
  <c r="N42" i="85"/>
  <c r="L42" i="85"/>
  <c r="B42" i="85"/>
  <c r="X41" i="85"/>
  <c r="Z41" i="85" s="1"/>
  <c r="L41" i="85"/>
  <c r="N41" i="85" s="1"/>
  <c r="J41" i="85"/>
  <c r="B41" i="85"/>
  <c r="Z40" i="85"/>
  <c r="X40" i="85"/>
  <c r="N40" i="85"/>
  <c r="L40" i="85"/>
  <c r="B40" i="85"/>
  <c r="Z39" i="85"/>
  <c r="X39" i="85"/>
  <c r="N39" i="85"/>
  <c r="L39" i="85"/>
  <c r="B39" i="85"/>
  <c r="X38" i="85"/>
  <c r="Z38" i="85" s="1"/>
  <c r="L38" i="85"/>
  <c r="N38" i="85" s="1"/>
  <c r="B38" i="85"/>
  <c r="Z37" i="85"/>
  <c r="X37" i="85"/>
  <c r="N37" i="85"/>
  <c r="L37" i="85"/>
  <c r="J37" i="85"/>
  <c r="B37" i="85"/>
  <c r="T36" i="85"/>
  <c r="P36" i="85"/>
  <c r="X36" i="85" s="1"/>
  <c r="Z36" i="85" s="1"/>
  <c r="J36" i="85"/>
  <c r="H36" i="85"/>
  <c r="D36" i="85"/>
  <c r="L36" i="85" s="1"/>
  <c r="B36" i="85"/>
  <c r="Z35" i="85"/>
  <c r="X35" i="85"/>
  <c r="N35" i="85"/>
  <c r="L35" i="85"/>
  <c r="B35" i="85"/>
  <c r="X34" i="85"/>
  <c r="Z34" i="85" s="1"/>
  <c r="N34" i="85"/>
  <c r="L34" i="85"/>
  <c r="B34" i="85"/>
  <c r="X33" i="85"/>
  <c r="Z33" i="85" s="1"/>
  <c r="N33" i="85"/>
  <c r="L33" i="85"/>
  <c r="B33" i="85"/>
  <c r="Z32" i="85"/>
  <c r="X32" i="85"/>
  <c r="N32" i="85"/>
  <c r="L32" i="85"/>
  <c r="B32" i="85"/>
  <c r="X31" i="85"/>
  <c r="Z31" i="85" s="1"/>
  <c r="N31" i="85"/>
  <c r="L31" i="85"/>
  <c r="B31" i="85"/>
  <c r="X30" i="85"/>
  <c r="Z30" i="85" s="1"/>
  <c r="N30" i="85"/>
  <c r="L30" i="85"/>
  <c r="B30" i="85"/>
  <c r="X29" i="85"/>
  <c r="Z29" i="85" s="1"/>
  <c r="N29" i="85"/>
  <c r="L29" i="85"/>
  <c r="B29" i="85"/>
  <c r="X28" i="85"/>
  <c r="Z28" i="85" s="1"/>
  <c r="L28" i="85"/>
  <c r="N28" i="85" s="1"/>
  <c r="B28" i="85"/>
  <c r="X27" i="85"/>
  <c r="Z27" i="85" s="1"/>
  <c r="N27" i="85"/>
  <c r="L27" i="85"/>
  <c r="B27" i="85"/>
  <c r="X26" i="85"/>
  <c r="T26" i="85"/>
  <c r="Z26" i="85" s="1"/>
  <c r="P26" i="85"/>
  <c r="H26" i="85"/>
  <c r="D26" i="85"/>
  <c r="L26" i="85" s="1"/>
  <c r="N26" i="85" s="1"/>
  <c r="B26" i="85"/>
  <c r="T25" i="85"/>
  <c r="Z25" i="85" s="1"/>
  <c r="P25" i="85"/>
  <c r="X25" i="85" s="1"/>
  <c r="H25" i="85"/>
  <c r="D25" i="85"/>
  <c r="H23" i="85"/>
  <c r="Z21" i="85"/>
  <c r="X21" i="85"/>
  <c r="N21" i="85"/>
  <c r="L21" i="85"/>
  <c r="J21" i="85"/>
  <c r="B21" i="85"/>
  <c r="Z20" i="85"/>
  <c r="X20" i="85"/>
  <c r="N20" i="85"/>
  <c r="L20" i="85"/>
  <c r="J20" i="85"/>
  <c r="B20" i="85"/>
  <c r="Z19" i="85"/>
  <c r="X19" i="85"/>
  <c r="N19" i="85"/>
  <c r="L19" i="85"/>
  <c r="B19" i="85"/>
  <c r="T18" i="85"/>
  <c r="P18" i="85"/>
  <c r="X18" i="85" s="1"/>
  <c r="Z18" i="85" s="1"/>
  <c r="N18" i="85"/>
  <c r="L18" i="85"/>
  <c r="H18" i="85"/>
  <c r="D18" i="85"/>
  <c r="Z16" i="85"/>
  <c r="P16" i="85"/>
  <c r="X16" i="85" s="1"/>
  <c r="N16" i="85"/>
  <c r="D16" i="85"/>
  <c r="L16" i="85" s="1"/>
  <c r="B16" i="85"/>
  <c r="Z15" i="85"/>
  <c r="P15" i="85"/>
  <c r="X15" i="85" s="1"/>
  <c r="D15" i="85"/>
  <c r="L15" i="85" s="1"/>
  <c r="N15" i="85" s="1"/>
  <c r="B15" i="85"/>
  <c r="Z14" i="85"/>
  <c r="X14" i="85"/>
  <c r="P14" i="85"/>
  <c r="N14" i="85"/>
  <c r="L14" i="85"/>
  <c r="D14" i="85"/>
  <c r="B14" i="85"/>
  <c r="Z13" i="85"/>
  <c r="X13" i="85"/>
  <c r="P13" i="85"/>
  <c r="D13" i="85"/>
  <c r="B13" i="85"/>
  <c r="T12" i="85"/>
  <c r="V38" i="85" s="1"/>
  <c r="P12" i="85"/>
  <c r="R60" i="85" s="1"/>
  <c r="H12" i="85"/>
  <c r="J90" i="85" s="1"/>
  <c r="D6" i="85"/>
  <c r="D4" i="85"/>
  <c r="Z81" i="84"/>
  <c r="X81" i="84"/>
  <c r="N81" i="84"/>
  <c r="L81" i="84"/>
  <c r="J79" i="84"/>
  <c r="Z77" i="84"/>
  <c r="T77" i="84"/>
  <c r="P77" i="84"/>
  <c r="X77" i="84" s="1"/>
  <c r="J77" i="84"/>
  <c r="H77" i="84"/>
  <c r="N77" i="84" s="1"/>
  <c r="D77" i="84"/>
  <c r="L77" i="84" s="1"/>
  <c r="Z75" i="84"/>
  <c r="X75" i="84"/>
  <c r="N75" i="84"/>
  <c r="L75" i="84"/>
  <c r="B75" i="84"/>
  <c r="Z74" i="84"/>
  <c r="T74" i="84"/>
  <c r="P74" i="84"/>
  <c r="X74" i="84" s="1"/>
  <c r="H74" i="84"/>
  <c r="N74" i="84" s="1"/>
  <c r="D74" i="84"/>
  <c r="L74" i="84" s="1"/>
  <c r="B74" i="84"/>
  <c r="Z73" i="84"/>
  <c r="X73" i="84"/>
  <c r="N73" i="84"/>
  <c r="L73" i="84"/>
  <c r="B73" i="84"/>
  <c r="Z72" i="84"/>
  <c r="X72" i="84"/>
  <c r="T72" i="84"/>
  <c r="P72" i="84"/>
  <c r="H72" i="84"/>
  <c r="N72" i="84" s="1"/>
  <c r="D72" i="84"/>
  <c r="B72" i="84"/>
  <c r="Z71" i="84"/>
  <c r="X71" i="84"/>
  <c r="N71" i="84"/>
  <c r="L71" i="84"/>
  <c r="B71" i="84"/>
  <c r="T70" i="84"/>
  <c r="P70" i="84"/>
  <c r="H70" i="84"/>
  <c r="N70" i="84" s="1"/>
  <c r="D70" i="84"/>
  <c r="L70" i="84" s="1"/>
  <c r="B70" i="84"/>
  <c r="Z69" i="84"/>
  <c r="X69" i="84"/>
  <c r="N69" i="84"/>
  <c r="L69" i="84"/>
  <c r="B69" i="84"/>
  <c r="Z68" i="84"/>
  <c r="X68" i="84"/>
  <c r="N68" i="84"/>
  <c r="L68" i="84"/>
  <c r="J68" i="84"/>
  <c r="B68" i="84"/>
  <c r="Z67" i="84"/>
  <c r="X67" i="84"/>
  <c r="N67" i="84"/>
  <c r="L67" i="84"/>
  <c r="B67" i="84"/>
  <c r="Z66" i="84"/>
  <c r="T66" i="84"/>
  <c r="P66" i="84"/>
  <c r="X66" i="84" s="1"/>
  <c r="H66" i="84"/>
  <c r="N66" i="84" s="1"/>
  <c r="D66" i="84"/>
  <c r="L66" i="84" s="1"/>
  <c r="B66" i="84"/>
  <c r="Z65" i="84"/>
  <c r="X65" i="84"/>
  <c r="N65" i="84"/>
  <c r="L65" i="84"/>
  <c r="B65" i="84"/>
  <c r="Z64" i="84"/>
  <c r="X64" i="84"/>
  <c r="T64" i="84"/>
  <c r="P64" i="84"/>
  <c r="H64" i="84"/>
  <c r="N64" i="84" s="1"/>
  <c r="D64" i="84"/>
  <c r="B64" i="84"/>
  <c r="Z63" i="84"/>
  <c r="X63" i="84"/>
  <c r="N63" i="84"/>
  <c r="L63" i="84"/>
  <c r="B63" i="84"/>
  <c r="T62" i="84"/>
  <c r="P62" i="84"/>
  <c r="H62" i="84"/>
  <c r="N62" i="84" s="1"/>
  <c r="D62" i="84"/>
  <c r="L62" i="84" s="1"/>
  <c r="B62" i="84"/>
  <c r="Z61" i="84"/>
  <c r="X61" i="84"/>
  <c r="N61" i="84"/>
  <c r="L61" i="84"/>
  <c r="B61" i="84"/>
  <c r="T60" i="84"/>
  <c r="Z60" i="84" s="1"/>
  <c r="P60" i="84"/>
  <c r="X60" i="84" s="1"/>
  <c r="N60" i="84"/>
  <c r="H60" i="84"/>
  <c r="D60" i="84"/>
  <c r="L60" i="84" s="1"/>
  <c r="B60" i="84"/>
  <c r="Z59" i="84"/>
  <c r="X59" i="84"/>
  <c r="N59" i="84"/>
  <c r="L59" i="84"/>
  <c r="B59" i="84"/>
  <c r="Z58" i="84"/>
  <c r="X58" i="84"/>
  <c r="N58" i="84"/>
  <c r="L58" i="84"/>
  <c r="F58" i="84"/>
  <c r="B58" i="84"/>
  <c r="X57" i="84"/>
  <c r="T57" i="84"/>
  <c r="Z57" i="84" s="1"/>
  <c r="P57" i="84"/>
  <c r="N57" i="84"/>
  <c r="H57" i="84"/>
  <c r="F57" i="84"/>
  <c r="D57" i="84"/>
  <c r="L57" i="84" s="1"/>
  <c r="B57" i="84"/>
  <c r="Z56" i="84"/>
  <c r="X56" i="84"/>
  <c r="N56" i="84"/>
  <c r="L56" i="84"/>
  <c r="B56" i="84"/>
  <c r="Z55" i="84"/>
  <c r="X55" i="84"/>
  <c r="T55" i="84"/>
  <c r="P55" i="84"/>
  <c r="N55" i="84"/>
  <c r="H55" i="84"/>
  <c r="D55" i="84"/>
  <c r="L55" i="84" s="1"/>
  <c r="B55" i="84"/>
  <c r="Z54" i="84"/>
  <c r="X54" i="84"/>
  <c r="N54" i="84"/>
  <c r="L54" i="84"/>
  <c r="B54" i="84"/>
  <c r="T53" i="84"/>
  <c r="Z53" i="84" s="1"/>
  <c r="P53" i="84"/>
  <c r="N53" i="84"/>
  <c r="H53" i="84"/>
  <c r="D53" i="84"/>
  <c r="L53" i="84" s="1"/>
  <c r="B53" i="84"/>
  <c r="Z52" i="84"/>
  <c r="X52" i="84"/>
  <c r="V52" i="84"/>
  <c r="N52" i="84"/>
  <c r="L52" i="84"/>
  <c r="B52" i="84"/>
  <c r="Z51" i="84"/>
  <c r="T51" i="84"/>
  <c r="P51" i="84"/>
  <c r="X51" i="84" s="1"/>
  <c r="L51" i="84"/>
  <c r="H51" i="84"/>
  <c r="N51" i="84" s="1"/>
  <c r="D51" i="84"/>
  <c r="B51" i="84"/>
  <c r="Z50" i="84"/>
  <c r="X50" i="84"/>
  <c r="R50" i="84"/>
  <c r="N50" i="84"/>
  <c r="L50" i="84"/>
  <c r="B50" i="84"/>
  <c r="T49" i="84"/>
  <c r="P49" i="84"/>
  <c r="X49" i="84" s="1"/>
  <c r="Z49" i="84" s="1"/>
  <c r="L49" i="84"/>
  <c r="N49" i="84" s="1"/>
  <c r="H49" i="84"/>
  <c r="D49" i="84"/>
  <c r="B49" i="84"/>
  <c r="Z48" i="84"/>
  <c r="X48" i="84"/>
  <c r="N48" i="84"/>
  <c r="L48" i="84"/>
  <c r="J48" i="84"/>
  <c r="B48" i="84"/>
  <c r="Z47" i="84"/>
  <c r="T47" i="84"/>
  <c r="P47" i="84"/>
  <c r="X47" i="84" s="1"/>
  <c r="J47" i="84"/>
  <c r="H47" i="84"/>
  <c r="N47" i="84" s="1"/>
  <c r="D47" i="84"/>
  <c r="L47" i="84" s="1"/>
  <c r="B47" i="84"/>
  <c r="Z46" i="84"/>
  <c r="X46" i="84"/>
  <c r="N46" i="84"/>
  <c r="L46" i="84"/>
  <c r="F46" i="84"/>
  <c r="B46" i="84"/>
  <c r="X45" i="84"/>
  <c r="T45" i="84"/>
  <c r="Z45" i="84" s="1"/>
  <c r="P45" i="84"/>
  <c r="N45" i="84"/>
  <c r="H45" i="84"/>
  <c r="F45" i="84"/>
  <c r="D45" i="84"/>
  <c r="L45" i="84" s="1"/>
  <c r="B45" i="84"/>
  <c r="Z44" i="84"/>
  <c r="X44" i="84"/>
  <c r="N44" i="84"/>
  <c r="L44" i="84"/>
  <c r="B44" i="84"/>
  <c r="Z43" i="84"/>
  <c r="X43" i="84"/>
  <c r="N43" i="84"/>
  <c r="L43" i="84"/>
  <c r="B43" i="84"/>
  <c r="Z42" i="84"/>
  <c r="X42" i="84"/>
  <c r="R42" i="84"/>
  <c r="N42" i="84"/>
  <c r="L42" i="84"/>
  <c r="B42" i="84"/>
  <c r="Z41" i="84"/>
  <c r="X41" i="84"/>
  <c r="N41" i="84"/>
  <c r="L41" i="84"/>
  <c r="J41" i="84"/>
  <c r="F41" i="84"/>
  <c r="B41" i="84"/>
  <c r="Z40" i="84"/>
  <c r="X40" i="84"/>
  <c r="N40" i="84"/>
  <c r="L40" i="84"/>
  <c r="B40" i="84"/>
  <c r="Z39" i="84"/>
  <c r="X39" i="84"/>
  <c r="N39" i="84"/>
  <c r="L39" i="84"/>
  <c r="B39" i="84"/>
  <c r="Z38" i="84"/>
  <c r="X38" i="84"/>
  <c r="N38" i="84"/>
  <c r="L38" i="84"/>
  <c r="B38" i="84"/>
  <c r="Z37" i="84"/>
  <c r="X37" i="84"/>
  <c r="N37" i="84"/>
  <c r="L37" i="84"/>
  <c r="J37" i="84"/>
  <c r="F37" i="84"/>
  <c r="B37" i="84"/>
  <c r="Z36" i="84"/>
  <c r="X36" i="84"/>
  <c r="N36" i="84"/>
  <c r="L36" i="84"/>
  <c r="B36" i="84"/>
  <c r="Z35" i="84"/>
  <c r="X35" i="84"/>
  <c r="N35" i="84"/>
  <c r="L35" i="84"/>
  <c r="B35" i="84"/>
  <c r="T34" i="84"/>
  <c r="Z34" i="84" s="1"/>
  <c r="R34" i="84"/>
  <c r="P34" i="84"/>
  <c r="X34" i="84" s="1"/>
  <c r="H34" i="84"/>
  <c r="N34" i="84" s="1"/>
  <c r="D34" i="84"/>
  <c r="L34" i="84" s="1"/>
  <c r="B34" i="84"/>
  <c r="Z33" i="84"/>
  <c r="X33" i="84"/>
  <c r="R33" i="84"/>
  <c r="N33" i="84"/>
  <c r="L33" i="84"/>
  <c r="B33" i="84"/>
  <c r="Z32" i="84"/>
  <c r="X32" i="84"/>
  <c r="N32" i="84"/>
  <c r="L32" i="84"/>
  <c r="J32" i="84"/>
  <c r="B32" i="84"/>
  <c r="Z31" i="84"/>
  <c r="X31" i="84"/>
  <c r="N31" i="84"/>
  <c r="L31" i="84"/>
  <c r="B31" i="84"/>
  <c r="Z30" i="84"/>
  <c r="X30" i="84"/>
  <c r="N30" i="84"/>
  <c r="L30" i="84"/>
  <c r="F30" i="84"/>
  <c r="B30" i="84"/>
  <c r="Z29" i="84"/>
  <c r="X29" i="84"/>
  <c r="R29" i="84"/>
  <c r="N29" i="84"/>
  <c r="L29" i="84"/>
  <c r="B29" i="84"/>
  <c r="Z28" i="84"/>
  <c r="X28" i="84"/>
  <c r="N28" i="84"/>
  <c r="L28" i="84"/>
  <c r="J28" i="84"/>
  <c r="B28" i="84"/>
  <c r="Z27" i="84"/>
  <c r="X27" i="84"/>
  <c r="N27" i="84"/>
  <c r="L27" i="84"/>
  <c r="B27" i="84"/>
  <c r="Z26" i="84"/>
  <c r="X26" i="84"/>
  <c r="N26" i="84"/>
  <c r="L26" i="84"/>
  <c r="F26" i="84"/>
  <c r="B26" i="84"/>
  <c r="Z25" i="84"/>
  <c r="X25" i="84"/>
  <c r="R25" i="84"/>
  <c r="N25" i="84"/>
  <c r="L25" i="84"/>
  <c r="B25" i="84"/>
  <c r="T24" i="84"/>
  <c r="Z24" i="84" s="1"/>
  <c r="P24" i="84"/>
  <c r="X24" i="84" s="1"/>
  <c r="N24" i="84"/>
  <c r="H24" i="84"/>
  <c r="D24" i="84"/>
  <c r="L24" i="84" s="1"/>
  <c r="B24" i="84"/>
  <c r="T23" i="84"/>
  <c r="P23" i="84"/>
  <c r="X23" i="84" s="1"/>
  <c r="Z23" i="84" s="1"/>
  <c r="H23" i="84"/>
  <c r="D23" i="84"/>
  <c r="L23" i="84" s="1"/>
  <c r="P21" i="84"/>
  <c r="Z19" i="84"/>
  <c r="X19" i="84"/>
  <c r="N19" i="84"/>
  <c r="L19" i="84"/>
  <c r="B19" i="84"/>
  <c r="Z18" i="84"/>
  <c r="X18" i="84"/>
  <c r="N18" i="84"/>
  <c r="L18" i="84"/>
  <c r="F18" i="84"/>
  <c r="B18" i="84"/>
  <c r="T17" i="84"/>
  <c r="Z17" i="84" s="1"/>
  <c r="P17" i="84"/>
  <c r="X17" i="84" s="1"/>
  <c r="N17" i="84"/>
  <c r="H17" i="84"/>
  <c r="F17" i="84"/>
  <c r="D17" i="84"/>
  <c r="L17" i="84" s="1"/>
  <c r="Z15" i="84"/>
  <c r="X15" i="84"/>
  <c r="P15" i="84"/>
  <c r="N15" i="84"/>
  <c r="L15" i="84"/>
  <c r="D15" i="84"/>
  <c r="B15" i="84"/>
  <c r="Z14" i="84"/>
  <c r="P14" i="84"/>
  <c r="X14" i="84" s="1"/>
  <c r="N14" i="84"/>
  <c r="L14" i="84"/>
  <c r="D14" i="84"/>
  <c r="B14" i="84"/>
  <c r="Z13" i="84"/>
  <c r="X13" i="84"/>
  <c r="P13" i="84"/>
  <c r="P12" i="84" s="1"/>
  <c r="R38" i="84" s="1"/>
  <c r="N13" i="84"/>
  <c r="L13" i="84"/>
  <c r="D13" i="84"/>
  <c r="B13" i="84"/>
  <c r="T12" i="84"/>
  <c r="V72" i="84" s="1"/>
  <c r="H12" i="84"/>
  <c r="J60" i="84" s="1"/>
  <c r="D12" i="84"/>
  <c r="F81" i="84" s="1"/>
  <c r="D6" i="84"/>
  <c r="D4" i="84"/>
  <c r="Z82" i="83"/>
  <c r="X82" i="83"/>
  <c r="N82" i="83"/>
  <c r="L82" i="83"/>
  <c r="J80" i="83"/>
  <c r="T78" i="83"/>
  <c r="Z78" i="83" s="1"/>
  <c r="P78" i="83"/>
  <c r="N78" i="83"/>
  <c r="L78" i="83"/>
  <c r="J78" i="83"/>
  <c r="H78" i="83"/>
  <c r="D78" i="83"/>
  <c r="Z76" i="83"/>
  <c r="X76" i="83"/>
  <c r="N76" i="83"/>
  <c r="L76" i="83"/>
  <c r="B76" i="83"/>
  <c r="T75" i="83"/>
  <c r="Z75" i="83" s="1"/>
  <c r="P75" i="83"/>
  <c r="X75" i="83" s="1"/>
  <c r="N75" i="83"/>
  <c r="H75" i="83"/>
  <c r="D75" i="83"/>
  <c r="L75" i="83" s="1"/>
  <c r="B75" i="83"/>
  <c r="Z74" i="83"/>
  <c r="X74" i="83"/>
  <c r="N74" i="83"/>
  <c r="L74" i="83"/>
  <c r="B74" i="83"/>
  <c r="Z73" i="83"/>
  <c r="X73" i="83"/>
  <c r="N73" i="83"/>
  <c r="L73" i="83"/>
  <c r="B73" i="83"/>
  <c r="T72" i="83"/>
  <c r="Z72" i="83" s="1"/>
  <c r="P72" i="83"/>
  <c r="H72" i="83"/>
  <c r="N72" i="83" s="1"/>
  <c r="D72" i="83"/>
  <c r="L72" i="83" s="1"/>
  <c r="B72" i="83"/>
  <c r="Z71" i="83"/>
  <c r="X71" i="83"/>
  <c r="N71" i="83"/>
  <c r="L71" i="83"/>
  <c r="B71" i="83"/>
  <c r="Z70" i="83"/>
  <c r="X70" i="83"/>
  <c r="N70" i="83"/>
  <c r="L70" i="83"/>
  <c r="J70" i="83"/>
  <c r="B70" i="83"/>
  <c r="Z69" i="83"/>
  <c r="X69" i="83"/>
  <c r="N69" i="83"/>
  <c r="L69" i="83"/>
  <c r="B69" i="83"/>
  <c r="Z68" i="83"/>
  <c r="X68" i="83"/>
  <c r="N68" i="83"/>
  <c r="L68" i="83"/>
  <c r="B68" i="83"/>
  <c r="Z67" i="83"/>
  <c r="X67" i="83"/>
  <c r="V67" i="83"/>
  <c r="N67" i="83"/>
  <c r="L67" i="83"/>
  <c r="B67" i="83"/>
  <c r="Z66" i="83"/>
  <c r="X66" i="83"/>
  <c r="N66" i="83"/>
  <c r="L66" i="83"/>
  <c r="J66" i="83"/>
  <c r="B66" i="83"/>
  <c r="Z65" i="83"/>
  <c r="X65" i="83"/>
  <c r="N65" i="83"/>
  <c r="L65" i="83"/>
  <c r="B65" i="83"/>
  <c r="Z64" i="83"/>
  <c r="X64" i="83"/>
  <c r="N64" i="83"/>
  <c r="L64" i="83"/>
  <c r="B64" i="83"/>
  <c r="T63" i="83"/>
  <c r="P63" i="83"/>
  <c r="H63" i="83"/>
  <c r="N63" i="83" s="1"/>
  <c r="D63" i="83"/>
  <c r="L63" i="83" s="1"/>
  <c r="B63" i="83"/>
  <c r="Z62" i="83"/>
  <c r="X62" i="83"/>
  <c r="V62" i="83"/>
  <c r="N62" i="83"/>
  <c r="L62" i="83"/>
  <c r="B62" i="83"/>
  <c r="Z61" i="83"/>
  <c r="X61" i="83"/>
  <c r="N61" i="83"/>
  <c r="L61" i="83"/>
  <c r="B61" i="83"/>
  <c r="T60" i="83"/>
  <c r="Z60" i="83" s="1"/>
  <c r="P60" i="83"/>
  <c r="N60" i="83"/>
  <c r="L60" i="83"/>
  <c r="J60" i="83"/>
  <c r="H60" i="83"/>
  <c r="D60" i="83"/>
  <c r="B60" i="83"/>
  <c r="Z59" i="83"/>
  <c r="X59" i="83"/>
  <c r="N59" i="83"/>
  <c r="L59" i="83"/>
  <c r="J59" i="83"/>
  <c r="B59" i="83"/>
  <c r="Z58" i="83"/>
  <c r="X58" i="83"/>
  <c r="N58" i="83"/>
  <c r="L58" i="83"/>
  <c r="B58" i="83"/>
  <c r="Z57" i="83"/>
  <c r="X57" i="83"/>
  <c r="N57" i="83"/>
  <c r="L57" i="83"/>
  <c r="B57" i="83"/>
  <c r="Z56" i="83"/>
  <c r="X56" i="83"/>
  <c r="N56" i="83"/>
  <c r="L56" i="83"/>
  <c r="B56" i="83"/>
  <c r="T55" i="83"/>
  <c r="Z55" i="83" s="1"/>
  <c r="P55" i="83"/>
  <c r="X55" i="83" s="1"/>
  <c r="N55" i="83"/>
  <c r="L55" i="83"/>
  <c r="H55" i="83"/>
  <c r="D55" i="83"/>
  <c r="B55" i="83"/>
  <c r="Z54" i="83"/>
  <c r="X54" i="83"/>
  <c r="N54" i="83"/>
  <c r="L54" i="83"/>
  <c r="J54" i="83"/>
  <c r="B54" i="83"/>
  <c r="T53" i="83"/>
  <c r="Z53" i="83" s="1"/>
  <c r="P53" i="83"/>
  <c r="X53" i="83" s="1"/>
  <c r="J53" i="83"/>
  <c r="H53" i="83"/>
  <c r="N53" i="83" s="1"/>
  <c r="D53" i="83"/>
  <c r="L53" i="83" s="1"/>
  <c r="B53" i="83"/>
  <c r="Z52" i="83"/>
  <c r="X52" i="83"/>
  <c r="N52" i="83"/>
  <c r="L52" i="83"/>
  <c r="B52" i="83"/>
  <c r="X51" i="83"/>
  <c r="T51" i="83"/>
  <c r="Z51" i="83" s="1"/>
  <c r="P51" i="83"/>
  <c r="N51" i="83"/>
  <c r="H51" i="83"/>
  <c r="D51" i="83"/>
  <c r="L51" i="83" s="1"/>
  <c r="B51" i="83"/>
  <c r="Z50" i="83"/>
  <c r="X50" i="83"/>
  <c r="L50" i="83"/>
  <c r="N50" i="83" s="1"/>
  <c r="B50" i="83"/>
  <c r="Z49" i="83"/>
  <c r="X49" i="83"/>
  <c r="T49" i="83"/>
  <c r="P49" i="83"/>
  <c r="H49" i="83"/>
  <c r="D49" i="83"/>
  <c r="L49" i="83" s="1"/>
  <c r="B49" i="83"/>
  <c r="Z48" i="83"/>
  <c r="X48" i="83"/>
  <c r="N48" i="83"/>
  <c r="L48" i="83"/>
  <c r="B48" i="83"/>
  <c r="T47" i="83"/>
  <c r="P47" i="83"/>
  <c r="H47" i="83"/>
  <c r="N47" i="83" s="1"/>
  <c r="D47" i="83"/>
  <c r="L47" i="83" s="1"/>
  <c r="B47" i="83"/>
  <c r="Z46" i="83"/>
  <c r="X46" i="83"/>
  <c r="N46" i="83"/>
  <c r="L46" i="83"/>
  <c r="B46" i="83"/>
  <c r="Z45" i="83"/>
  <c r="T45" i="83"/>
  <c r="P45" i="83"/>
  <c r="X45" i="83" s="1"/>
  <c r="H45" i="83"/>
  <c r="N45" i="83" s="1"/>
  <c r="D45" i="83"/>
  <c r="L45" i="83" s="1"/>
  <c r="B45" i="83"/>
  <c r="Z44" i="83"/>
  <c r="X44" i="83"/>
  <c r="N44" i="83"/>
  <c r="L44" i="83"/>
  <c r="B44" i="83"/>
  <c r="T43" i="83"/>
  <c r="Z43" i="83" s="1"/>
  <c r="P43" i="83"/>
  <c r="X43" i="83" s="1"/>
  <c r="N43" i="83"/>
  <c r="L43" i="83"/>
  <c r="H43" i="83"/>
  <c r="D43" i="83"/>
  <c r="B43" i="83"/>
  <c r="Z42" i="83"/>
  <c r="X42" i="83"/>
  <c r="N42" i="83"/>
  <c r="L42" i="83"/>
  <c r="J42" i="83"/>
  <c r="B42" i="83"/>
  <c r="Z41" i="83"/>
  <c r="X41" i="83"/>
  <c r="N41" i="83"/>
  <c r="L41" i="83"/>
  <c r="B41" i="83"/>
  <c r="Z40" i="83"/>
  <c r="X40" i="83"/>
  <c r="N40" i="83"/>
  <c r="L40" i="83"/>
  <c r="B40" i="83"/>
  <c r="Z39" i="83"/>
  <c r="X39" i="83"/>
  <c r="V39" i="83"/>
  <c r="N39" i="83"/>
  <c r="L39" i="83"/>
  <c r="B39" i="83"/>
  <c r="Z38" i="83"/>
  <c r="X38" i="83"/>
  <c r="N38" i="83"/>
  <c r="L38" i="83"/>
  <c r="J38" i="83"/>
  <c r="B38" i="83"/>
  <c r="Z37" i="83"/>
  <c r="X37" i="83"/>
  <c r="N37" i="83"/>
  <c r="L37" i="83"/>
  <c r="B37" i="83"/>
  <c r="Z36" i="83"/>
  <c r="X36" i="83"/>
  <c r="N36" i="83"/>
  <c r="L36" i="83"/>
  <c r="B36" i="83"/>
  <c r="Z35" i="83"/>
  <c r="X35" i="83"/>
  <c r="N35" i="83"/>
  <c r="L35" i="83"/>
  <c r="B35" i="83"/>
  <c r="Z34" i="83"/>
  <c r="X34" i="83"/>
  <c r="N34" i="83"/>
  <c r="L34" i="83"/>
  <c r="J34" i="83"/>
  <c r="B34" i="83"/>
  <c r="Z33" i="83"/>
  <c r="X33" i="83"/>
  <c r="N33" i="83"/>
  <c r="L33" i="83"/>
  <c r="B33" i="83"/>
  <c r="Z32" i="83"/>
  <c r="T32" i="83"/>
  <c r="P32" i="83"/>
  <c r="X32" i="83" s="1"/>
  <c r="N32" i="83"/>
  <c r="H32" i="83"/>
  <c r="D32" i="83"/>
  <c r="L32" i="83" s="1"/>
  <c r="B32" i="83"/>
  <c r="Z31" i="83"/>
  <c r="X31" i="83"/>
  <c r="N31" i="83"/>
  <c r="L31" i="83"/>
  <c r="B31" i="83"/>
  <c r="Z30" i="83"/>
  <c r="X30" i="83"/>
  <c r="V30" i="83"/>
  <c r="N30" i="83"/>
  <c r="L30" i="83"/>
  <c r="B30" i="83"/>
  <c r="Z29" i="83"/>
  <c r="X29" i="83"/>
  <c r="N29" i="83"/>
  <c r="L29" i="83"/>
  <c r="B29" i="83"/>
  <c r="Z28" i="83"/>
  <c r="X28" i="83"/>
  <c r="N28" i="83"/>
  <c r="L28" i="83"/>
  <c r="B28" i="83"/>
  <c r="Z27" i="83"/>
  <c r="X27" i="83"/>
  <c r="N27" i="83"/>
  <c r="L27" i="83"/>
  <c r="B27" i="83"/>
  <c r="Z26" i="83"/>
  <c r="X26" i="83"/>
  <c r="V26" i="83"/>
  <c r="N26" i="83"/>
  <c r="L26" i="83"/>
  <c r="B26" i="83"/>
  <c r="Z25" i="83"/>
  <c r="X25" i="83"/>
  <c r="N25" i="83"/>
  <c r="L25" i="83"/>
  <c r="B25" i="83"/>
  <c r="Z24" i="83"/>
  <c r="X24" i="83"/>
  <c r="N24" i="83"/>
  <c r="L24" i="83"/>
  <c r="B24" i="83"/>
  <c r="Z23" i="83"/>
  <c r="X23" i="83"/>
  <c r="N23" i="83"/>
  <c r="L23" i="83"/>
  <c r="B23" i="83"/>
  <c r="Z22" i="83"/>
  <c r="X22" i="83"/>
  <c r="T22" i="83"/>
  <c r="P22" i="83"/>
  <c r="H22" i="83"/>
  <c r="N22" i="83" s="1"/>
  <c r="D22" i="83"/>
  <c r="B22" i="83"/>
  <c r="Z21" i="83"/>
  <c r="X21" i="83"/>
  <c r="T21" i="83"/>
  <c r="P21" i="83"/>
  <c r="H21" i="83"/>
  <c r="D21" i="83"/>
  <c r="L21" i="83" s="1"/>
  <c r="T19" i="83"/>
  <c r="T80" i="83" s="1"/>
  <c r="H19" i="83"/>
  <c r="Z17" i="83"/>
  <c r="X17" i="83"/>
  <c r="N17" i="83"/>
  <c r="L17" i="83"/>
  <c r="B17" i="83"/>
  <c r="Z16" i="83"/>
  <c r="T16" i="83"/>
  <c r="X16" i="83" s="1"/>
  <c r="P16" i="83"/>
  <c r="N16" i="83"/>
  <c r="H16" i="83"/>
  <c r="D16" i="83"/>
  <c r="L16" i="83" s="1"/>
  <c r="Z14" i="83"/>
  <c r="P14" i="83"/>
  <c r="X14" i="83" s="1"/>
  <c r="N14" i="83"/>
  <c r="L14" i="83"/>
  <c r="D14" i="83"/>
  <c r="B14" i="83"/>
  <c r="Z13" i="83"/>
  <c r="X13" i="83"/>
  <c r="P13" i="83"/>
  <c r="P12" i="83" s="1"/>
  <c r="N13" i="83"/>
  <c r="D13" i="83"/>
  <c r="B13" i="83"/>
  <c r="T12" i="83"/>
  <c r="V35" i="83" s="1"/>
  <c r="N12" i="83"/>
  <c r="H12" i="83"/>
  <c r="J82" i="83" s="1"/>
  <c r="D6" i="83"/>
  <c r="D4" i="83"/>
  <c r="V85" i="82"/>
  <c r="Z80" i="82"/>
  <c r="X80" i="82"/>
  <c r="N80" i="82"/>
  <c r="L80" i="82"/>
  <c r="Z76" i="82"/>
  <c r="T76" i="82"/>
  <c r="R76" i="82"/>
  <c r="P76" i="82"/>
  <c r="X76" i="82" s="1"/>
  <c r="L76" i="82"/>
  <c r="H76" i="82"/>
  <c r="N76" i="82" s="1"/>
  <c r="D76" i="82"/>
  <c r="Z74" i="82"/>
  <c r="X74" i="82"/>
  <c r="N74" i="82"/>
  <c r="L74" i="82"/>
  <c r="B74" i="82"/>
  <c r="T73" i="82"/>
  <c r="Z73" i="82" s="1"/>
  <c r="P73" i="82"/>
  <c r="N73" i="82"/>
  <c r="L73" i="82"/>
  <c r="J73" i="82"/>
  <c r="H73" i="82"/>
  <c r="D73" i="82"/>
  <c r="B73" i="82"/>
  <c r="Z72" i="82"/>
  <c r="X72" i="82"/>
  <c r="N72" i="82"/>
  <c r="L72" i="82"/>
  <c r="J72" i="82"/>
  <c r="B72" i="82"/>
  <c r="Z71" i="82"/>
  <c r="X71" i="82"/>
  <c r="N71" i="82"/>
  <c r="L71" i="82"/>
  <c r="B71" i="82"/>
  <c r="Z70" i="82"/>
  <c r="X70" i="82"/>
  <c r="T70" i="82"/>
  <c r="P70" i="82"/>
  <c r="N70" i="82"/>
  <c r="H70" i="82"/>
  <c r="D70" i="82"/>
  <c r="L70" i="82" s="1"/>
  <c r="B70" i="82"/>
  <c r="Z69" i="82"/>
  <c r="X69" i="82"/>
  <c r="N69" i="82"/>
  <c r="L69" i="82"/>
  <c r="B69" i="82"/>
  <c r="Z68" i="82"/>
  <c r="X68" i="82"/>
  <c r="V68" i="82"/>
  <c r="R68" i="82"/>
  <c r="N68" i="82"/>
  <c r="L68" i="82"/>
  <c r="B68" i="82"/>
  <c r="Z67" i="82"/>
  <c r="X67" i="82"/>
  <c r="N67" i="82"/>
  <c r="L67" i="82"/>
  <c r="J67" i="82"/>
  <c r="B67" i="82"/>
  <c r="Z66" i="82"/>
  <c r="X66" i="82"/>
  <c r="N66" i="82"/>
  <c r="L66" i="82"/>
  <c r="B66" i="82"/>
  <c r="Z65" i="82"/>
  <c r="X65" i="82"/>
  <c r="N65" i="82"/>
  <c r="L65" i="82"/>
  <c r="B65" i="82"/>
  <c r="V64" i="82"/>
  <c r="T64" i="82"/>
  <c r="P64" i="82"/>
  <c r="N64" i="82"/>
  <c r="H64" i="82"/>
  <c r="D64" i="82"/>
  <c r="L64" i="82" s="1"/>
  <c r="B64" i="82"/>
  <c r="Z63" i="82"/>
  <c r="X63" i="82"/>
  <c r="V63" i="82"/>
  <c r="N63" i="82"/>
  <c r="L63" i="82"/>
  <c r="B63" i="82"/>
  <c r="Z62" i="82"/>
  <c r="X62" i="82"/>
  <c r="N62" i="82"/>
  <c r="L62" i="82"/>
  <c r="B62" i="82"/>
  <c r="Z61" i="82"/>
  <c r="X61" i="82"/>
  <c r="N61" i="82"/>
  <c r="L61" i="82"/>
  <c r="B61" i="82"/>
  <c r="Z60" i="82"/>
  <c r="X60" i="82"/>
  <c r="N60" i="82"/>
  <c r="L60" i="82"/>
  <c r="B60" i="82"/>
  <c r="Z59" i="82"/>
  <c r="X59" i="82"/>
  <c r="V59" i="82"/>
  <c r="T59" i="82"/>
  <c r="P59" i="82"/>
  <c r="H59" i="82"/>
  <c r="N59" i="82" s="1"/>
  <c r="D59" i="82"/>
  <c r="L59" i="82" s="1"/>
  <c r="B59" i="82"/>
  <c r="Z58" i="82"/>
  <c r="X58" i="82"/>
  <c r="N58" i="82"/>
  <c r="L58" i="82"/>
  <c r="B58" i="82"/>
  <c r="T57" i="82"/>
  <c r="P57" i="82"/>
  <c r="H57" i="82"/>
  <c r="N57" i="82" s="1"/>
  <c r="D57" i="82"/>
  <c r="L57" i="82" s="1"/>
  <c r="B57" i="82"/>
  <c r="Z56" i="82"/>
  <c r="X56" i="82"/>
  <c r="V56" i="82"/>
  <c r="R56" i="82"/>
  <c r="N56" i="82"/>
  <c r="L56" i="82"/>
  <c r="B56" i="82"/>
  <c r="Z55" i="82"/>
  <c r="X55" i="82"/>
  <c r="N55" i="82"/>
  <c r="L55" i="82"/>
  <c r="J55" i="82"/>
  <c r="B55" i="82"/>
  <c r="Z54" i="82"/>
  <c r="T54" i="82"/>
  <c r="P54" i="82"/>
  <c r="X54" i="82" s="1"/>
  <c r="J54" i="82"/>
  <c r="H54" i="82"/>
  <c r="D54" i="82"/>
  <c r="B54" i="82"/>
  <c r="Z53" i="82"/>
  <c r="X53" i="82"/>
  <c r="N53" i="82"/>
  <c r="L53" i="82"/>
  <c r="B53" i="82"/>
  <c r="X52" i="82"/>
  <c r="T52" i="82"/>
  <c r="Z52" i="82" s="1"/>
  <c r="P52" i="82"/>
  <c r="H52" i="82"/>
  <c r="N52" i="82" s="1"/>
  <c r="D52" i="82"/>
  <c r="L52" i="82" s="1"/>
  <c r="B52" i="82"/>
  <c r="Z51" i="82"/>
  <c r="X51" i="82"/>
  <c r="N51" i="82"/>
  <c r="L51" i="82"/>
  <c r="B51" i="82"/>
  <c r="Z50" i="82"/>
  <c r="X50" i="82"/>
  <c r="T50" i="82"/>
  <c r="P50" i="82"/>
  <c r="N50" i="82"/>
  <c r="H50" i="82"/>
  <c r="D50" i="82"/>
  <c r="L50" i="82" s="1"/>
  <c r="B50" i="82"/>
  <c r="Z49" i="82"/>
  <c r="X49" i="82"/>
  <c r="N49" i="82"/>
  <c r="L49" i="82"/>
  <c r="B49" i="82"/>
  <c r="V48" i="82"/>
  <c r="T48" i="82"/>
  <c r="P48" i="82"/>
  <c r="N48" i="82"/>
  <c r="H48" i="82"/>
  <c r="D48" i="82"/>
  <c r="L48" i="82" s="1"/>
  <c r="B48" i="82"/>
  <c r="X47" i="82"/>
  <c r="Z47" i="82" s="1"/>
  <c r="V47" i="82"/>
  <c r="N47" i="82"/>
  <c r="L47" i="82"/>
  <c r="B47" i="82"/>
  <c r="Z46" i="82"/>
  <c r="X46" i="82"/>
  <c r="L46" i="82"/>
  <c r="N46" i="82" s="1"/>
  <c r="B46" i="82"/>
  <c r="T45" i="82"/>
  <c r="P45" i="82"/>
  <c r="L45" i="82"/>
  <c r="N45" i="82" s="1"/>
  <c r="J45" i="82"/>
  <c r="H45" i="82"/>
  <c r="D45" i="82"/>
  <c r="B45" i="82"/>
  <c r="Z44" i="82"/>
  <c r="X44" i="82"/>
  <c r="N44" i="82"/>
  <c r="L44" i="82"/>
  <c r="J44" i="82"/>
  <c r="B44" i="82"/>
  <c r="T43" i="82"/>
  <c r="Z43" i="82" s="1"/>
  <c r="P43" i="82"/>
  <c r="X43" i="82" s="1"/>
  <c r="H43" i="82"/>
  <c r="D43" i="82"/>
  <c r="B43" i="82"/>
  <c r="Z42" i="82"/>
  <c r="X42" i="82"/>
  <c r="N42" i="82"/>
  <c r="L42" i="82"/>
  <c r="B42" i="82"/>
  <c r="Z41" i="82"/>
  <c r="T41" i="82"/>
  <c r="P41" i="82"/>
  <c r="X41" i="82" s="1"/>
  <c r="H41" i="82"/>
  <c r="N41" i="82" s="1"/>
  <c r="D41" i="82"/>
  <c r="L41" i="82" s="1"/>
  <c r="B41" i="82"/>
  <c r="Z40" i="82"/>
  <c r="X40" i="82"/>
  <c r="N40" i="82"/>
  <c r="L40" i="82"/>
  <c r="B40" i="82"/>
  <c r="Z39" i="82"/>
  <c r="X39" i="82"/>
  <c r="V39" i="82"/>
  <c r="N39" i="82"/>
  <c r="L39" i="82"/>
  <c r="B39" i="82"/>
  <c r="Z38" i="82"/>
  <c r="X38" i="82"/>
  <c r="N38" i="82"/>
  <c r="L38" i="82"/>
  <c r="B38" i="82"/>
  <c r="Z37" i="82"/>
  <c r="X37" i="82"/>
  <c r="N37" i="82"/>
  <c r="L37" i="82"/>
  <c r="B37" i="82"/>
  <c r="Z36" i="82"/>
  <c r="X36" i="82"/>
  <c r="N36" i="82"/>
  <c r="L36" i="82"/>
  <c r="B36" i="82"/>
  <c r="Z35" i="82"/>
  <c r="X35" i="82"/>
  <c r="V35" i="82"/>
  <c r="N35" i="82"/>
  <c r="L35" i="82"/>
  <c r="B35" i="82"/>
  <c r="Z34" i="82"/>
  <c r="X34" i="82"/>
  <c r="N34" i="82"/>
  <c r="L34" i="82"/>
  <c r="B34" i="82"/>
  <c r="Z33" i="82"/>
  <c r="X33" i="82"/>
  <c r="N33" i="82"/>
  <c r="L33" i="82"/>
  <c r="B33" i="82"/>
  <c r="Z32" i="82"/>
  <c r="X32" i="82"/>
  <c r="N32" i="82"/>
  <c r="L32" i="82"/>
  <c r="B32" i="82"/>
  <c r="Z31" i="82"/>
  <c r="X31" i="82"/>
  <c r="V31" i="82"/>
  <c r="N31" i="82"/>
  <c r="L31" i="82"/>
  <c r="B31" i="82"/>
  <c r="T30" i="82"/>
  <c r="Z30" i="82" s="1"/>
  <c r="R30" i="82"/>
  <c r="P30" i="82"/>
  <c r="X30" i="82" s="1"/>
  <c r="N30" i="82"/>
  <c r="H30" i="82"/>
  <c r="D30" i="82"/>
  <c r="L30" i="82" s="1"/>
  <c r="B30" i="82"/>
  <c r="Z29" i="82"/>
  <c r="X29" i="82"/>
  <c r="V29" i="82"/>
  <c r="N29" i="82"/>
  <c r="L29" i="82"/>
  <c r="B29" i="82"/>
  <c r="Z28" i="82"/>
  <c r="X28" i="82"/>
  <c r="V28" i="82"/>
  <c r="N28" i="82"/>
  <c r="L28" i="82"/>
  <c r="J28" i="82"/>
  <c r="B28" i="82"/>
  <c r="Z27" i="82"/>
  <c r="X27" i="82"/>
  <c r="N27" i="82"/>
  <c r="L27" i="82"/>
  <c r="B27" i="82"/>
  <c r="Z26" i="82"/>
  <c r="X26" i="82"/>
  <c r="N26" i="82"/>
  <c r="L26" i="82"/>
  <c r="B26" i="82"/>
  <c r="Z25" i="82"/>
  <c r="X25" i="82"/>
  <c r="V25" i="82"/>
  <c r="R25" i="82"/>
  <c r="N25" i="82"/>
  <c r="L25" i="82"/>
  <c r="B25" i="82"/>
  <c r="Z24" i="82"/>
  <c r="X24" i="82"/>
  <c r="V24" i="82"/>
  <c r="N24" i="82"/>
  <c r="L24" i="82"/>
  <c r="J24" i="82"/>
  <c r="B24" i="82"/>
  <c r="Z23" i="82"/>
  <c r="X23" i="82"/>
  <c r="N23" i="82"/>
  <c r="L23" i="82"/>
  <c r="B23" i="82"/>
  <c r="Z22" i="82"/>
  <c r="X22" i="82"/>
  <c r="N22" i="82"/>
  <c r="L22" i="82"/>
  <c r="B22" i="82"/>
  <c r="V21" i="82"/>
  <c r="T21" i="82"/>
  <c r="R21" i="82"/>
  <c r="P21" i="82"/>
  <c r="H21" i="82"/>
  <c r="N21" i="82" s="1"/>
  <c r="D21" i="82"/>
  <c r="L21" i="82" s="1"/>
  <c r="B21" i="82"/>
  <c r="V20" i="82"/>
  <c r="T20" i="82"/>
  <c r="P20" i="82"/>
  <c r="H20" i="82"/>
  <c r="D20" i="82"/>
  <c r="L20" i="82" s="1"/>
  <c r="V18" i="82"/>
  <c r="T18" i="82"/>
  <c r="Z16" i="82"/>
  <c r="X16" i="82"/>
  <c r="V16" i="82"/>
  <c r="R16" i="82"/>
  <c r="N16" i="82"/>
  <c r="L16" i="82"/>
  <c r="B16" i="82"/>
  <c r="Z15" i="82"/>
  <c r="V15" i="82"/>
  <c r="T15" i="82"/>
  <c r="P15" i="82"/>
  <c r="X15" i="82" s="1"/>
  <c r="N15" i="82"/>
  <c r="H15" i="82"/>
  <c r="D15" i="82"/>
  <c r="L15" i="82" s="1"/>
  <c r="Z13" i="82"/>
  <c r="X13" i="82"/>
  <c r="P13" i="82"/>
  <c r="P12" i="82" s="1"/>
  <c r="N13" i="82"/>
  <c r="D13" i="82"/>
  <c r="B13" i="82"/>
  <c r="T12" i="82"/>
  <c r="V69" i="82" s="1"/>
  <c r="H12" i="82"/>
  <c r="J29" i="82" s="1"/>
  <c r="D6" i="82"/>
  <c r="D4" i="82"/>
  <c r="Z89" i="81"/>
  <c r="X89" i="81"/>
  <c r="N89" i="81"/>
  <c r="L89" i="81"/>
  <c r="R87" i="81"/>
  <c r="Z85" i="81"/>
  <c r="P85" i="81"/>
  <c r="N85" i="81"/>
  <c r="L85" i="81"/>
  <c r="D85" i="81"/>
  <c r="B85" i="81"/>
  <c r="Z84" i="81"/>
  <c r="P84" i="81"/>
  <c r="X84" i="81" s="1"/>
  <c r="N84" i="81"/>
  <c r="L84" i="81"/>
  <c r="D84" i="81"/>
  <c r="D83" i="81" s="1"/>
  <c r="B84" i="81"/>
  <c r="T83" i="81"/>
  <c r="Z83" i="81" s="1"/>
  <c r="N83" i="81"/>
  <c r="L83" i="81"/>
  <c r="H83" i="81"/>
  <c r="X81" i="81"/>
  <c r="Z81" i="81" s="1"/>
  <c r="L81" i="81"/>
  <c r="N81" i="81" s="1"/>
  <c r="J81" i="81"/>
  <c r="F81" i="81"/>
  <c r="B81" i="81"/>
  <c r="T80" i="81"/>
  <c r="P80" i="81"/>
  <c r="X80" i="81" s="1"/>
  <c r="Z80" i="81" s="1"/>
  <c r="H80" i="81"/>
  <c r="F80" i="81"/>
  <c r="D80" i="81"/>
  <c r="B80" i="81"/>
  <c r="Z79" i="81"/>
  <c r="X79" i="81"/>
  <c r="N79" i="81"/>
  <c r="L79" i="81"/>
  <c r="B79" i="81"/>
  <c r="Z78" i="81"/>
  <c r="T78" i="81"/>
  <c r="P78" i="81"/>
  <c r="X78" i="81" s="1"/>
  <c r="N78" i="81"/>
  <c r="H78" i="81"/>
  <c r="D78" i="81"/>
  <c r="L78" i="81" s="1"/>
  <c r="B78" i="81"/>
  <c r="X77" i="81"/>
  <c r="Z77" i="81" s="1"/>
  <c r="L77" i="81"/>
  <c r="N77" i="81" s="1"/>
  <c r="B77" i="81"/>
  <c r="X76" i="81"/>
  <c r="Z76" i="81" s="1"/>
  <c r="V76" i="81"/>
  <c r="T76" i="81"/>
  <c r="P76" i="81"/>
  <c r="H76" i="81"/>
  <c r="D76" i="81"/>
  <c r="B76" i="81"/>
  <c r="Z75" i="81"/>
  <c r="X75" i="81"/>
  <c r="N75" i="81"/>
  <c r="L75" i="81"/>
  <c r="B75" i="81"/>
  <c r="Z74" i="81"/>
  <c r="X74" i="81"/>
  <c r="R74" i="81"/>
  <c r="N74" i="81"/>
  <c r="L74" i="81"/>
  <c r="B74" i="81"/>
  <c r="Z73" i="81"/>
  <c r="X73" i="81"/>
  <c r="N73" i="81"/>
  <c r="L73" i="81"/>
  <c r="J73" i="81"/>
  <c r="F73" i="81"/>
  <c r="B73" i="81"/>
  <c r="Z72" i="81"/>
  <c r="X72" i="81"/>
  <c r="N72" i="81"/>
  <c r="L72" i="81"/>
  <c r="B72" i="81"/>
  <c r="Z71" i="81"/>
  <c r="X71" i="81"/>
  <c r="N71" i="81"/>
  <c r="L71" i="81"/>
  <c r="B71" i="81"/>
  <c r="Z70" i="81"/>
  <c r="X70" i="81"/>
  <c r="R70" i="81"/>
  <c r="N70" i="81"/>
  <c r="L70" i="81"/>
  <c r="B70" i="81"/>
  <c r="Z69" i="81"/>
  <c r="X69" i="81"/>
  <c r="N69" i="81"/>
  <c r="L69" i="81"/>
  <c r="J69" i="81"/>
  <c r="F69" i="81"/>
  <c r="B69" i="81"/>
  <c r="Z68" i="81"/>
  <c r="T68" i="81"/>
  <c r="P68" i="81"/>
  <c r="X68" i="81" s="1"/>
  <c r="H68" i="81"/>
  <c r="N68" i="81" s="1"/>
  <c r="F68" i="81"/>
  <c r="D68" i="81"/>
  <c r="B68" i="81"/>
  <c r="Z67" i="81"/>
  <c r="X67" i="81"/>
  <c r="N67" i="81"/>
  <c r="L67" i="81"/>
  <c r="B67" i="81"/>
  <c r="Z66" i="81"/>
  <c r="X66" i="81"/>
  <c r="N66" i="81"/>
  <c r="L66" i="81"/>
  <c r="B66" i="81"/>
  <c r="V65" i="81"/>
  <c r="T65" i="81"/>
  <c r="P65" i="81"/>
  <c r="H65" i="81"/>
  <c r="N65" i="81" s="1"/>
  <c r="D65" i="81"/>
  <c r="L65" i="81" s="1"/>
  <c r="B65" i="81"/>
  <c r="Z64" i="81"/>
  <c r="X64" i="81"/>
  <c r="V64" i="81"/>
  <c r="N64" i="81"/>
  <c r="L64" i="81"/>
  <c r="B64" i="81"/>
  <c r="Z63" i="81"/>
  <c r="X63" i="81"/>
  <c r="L63" i="81"/>
  <c r="N63" i="81" s="1"/>
  <c r="B63" i="81"/>
  <c r="Z62" i="81"/>
  <c r="X62" i="81"/>
  <c r="N62" i="81"/>
  <c r="L62" i="81"/>
  <c r="F62" i="81"/>
  <c r="B62" i="81"/>
  <c r="X61" i="81"/>
  <c r="Z61" i="81" s="1"/>
  <c r="L61" i="81"/>
  <c r="N61" i="81" s="1"/>
  <c r="B61" i="81"/>
  <c r="X60" i="81"/>
  <c r="Z60" i="81" s="1"/>
  <c r="V60" i="81"/>
  <c r="T60" i="81"/>
  <c r="P60" i="81"/>
  <c r="H60" i="81"/>
  <c r="D60" i="81"/>
  <c r="B60" i="81"/>
  <c r="Z59" i="81"/>
  <c r="X59" i="81"/>
  <c r="N59" i="81"/>
  <c r="L59" i="81"/>
  <c r="B59" i="81"/>
  <c r="Z58" i="81"/>
  <c r="X58" i="81"/>
  <c r="R58" i="81"/>
  <c r="N58" i="81"/>
  <c r="L58" i="81"/>
  <c r="B58" i="81"/>
  <c r="Z57" i="81"/>
  <c r="X57" i="81"/>
  <c r="N57" i="81"/>
  <c r="L57" i="81"/>
  <c r="J57" i="81"/>
  <c r="F57" i="81"/>
  <c r="B57" i="81"/>
  <c r="Z56" i="81"/>
  <c r="X56" i="81"/>
  <c r="N56" i="81"/>
  <c r="L56" i="81"/>
  <c r="B56" i="81"/>
  <c r="Z55" i="81"/>
  <c r="X55" i="81"/>
  <c r="T55" i="81"/>
  <c r="P55" i="81"/>
  <c r="H55" i="81"/>
  <c r="N55" i="81" s="1"/>
  <c r="D55" i="81"/>
  <c r="L55" i="81" s="1"/>
  <c r="B55" i="81"/>
  <c r="Z54" i="81"/>
  <c r="X54" i="81"/>
  <c r="L54" i="81"/>
  <c r="N54" i="81" s="1"/>
  <c r="B54" i="81"/>
  <c r="V53" i="81"/>
  <c r="T53" i="81"/>
  <c r="P53" i="81"/>
  <c r="H53" i="81"/>
  <c r="N53" i="81" s="1"/>
  <c r="D53" i="81"/>
  <c r="L53" i="81" s="1"/>
  <c r="B53" i="81"/>
  <c r="Z52" i="81"/>
  <c r="X52" i="81"/>
  <c r="V52" i="81"/>
  <c r="N52" i="81"/>
  <c r="L52" i="81"/>
  <c r="B52" i="81"/>
  <c r="T51" i="81"/>
  <c r="Z51" i="81" s="1"/>
  <c r="R51" i="81"/>
  <c r="P51" i="81"/>
  <c r="X51" i="81" s="1"/>
  <c r="N51" i="81"/>
  <c r="H51" i="81"/>
  <c r="D51" i="81"/>
  <c r="L51" i="81" s="1"/>
  <c r="B51" i="81"/>
  <c r="Z50" i="81"/>
  <c r="X50" i="81"/>
  <c r="R50" i="81"/>
  <c r="N50" i="81"/>
  <c r="L50" i="81"/>
  <c r="B50" i="81"/>
  <c r="T49" i="81"/>
  <c r="Z49" i="81" s="1"/>
  <c r="P49" i="81"/>
  <c r="X49" i="81" s="1"/>
  <c r="N49" i="81"/>
  <c r="L49" i="81"/>
  <c r="H49" i="81"/>
  <c r="D49" i="81"/>
  <c r="B49" i="81"/>
  <c r="Z48" i="81"/>
  <c r="X48" i="81"/>
  <c r="N48" i="81"/>
  <c r="L48" i="81"/>
  <c r="J48" i="81"/>
  <c r="B48" i="81"/>
  <c r="T47" i="81"/>
  <c r="Z47" i="81" s="1"/>
  <c r="P47" i="81"/>
  <c r="X47" i="81" s="1"/>
  <c r="J47" i="81"/>
  <c r="H47" i="81"/>
  <c r="D47" i="81"/>
  <c r="B47" i="81"/>
  <c r="Z46" i="81"/>
  <c r="X46" i="81"/>
  <c r="N46" i="81"/>
  <c r="L46" i="81"/>
  <c r="F46" i="81"/>
  <c r="B46" i="81"/>
  <c r="Z45" i="81"/>
  <c r="X45" i="81"/>
  <c r="N45" i="81"/>
  <c r="L45" i="81"/>
  <c r="B45" i="81"/>
  <c r="X44" i="81"/>
  <c r="Z44" i="81" s="1"/>
  <c r="V44" i="81"/>
  <c r="T44" i="81"/>
  <c r="P44" i="81"/>
  <c r="H44" i="81"/>
  <c r="N44" i="81" s="1"/>
  <c r="D44" i="81"/>
  <c r="L44" i="81" s="1"/>
  <c r="B44" i="81"/>
  <c r="Z43" i="81"/>
  <c r="X43" i="81"/>
  <c r="N43" i="81"/>
  <c r="L43" i="81"/>
  <c r="B43" i="81"/>
  <c r="V42" i="81"/>
  <c r="T42" i="81"/>
  <c r="Z42" i="81" s="1"/>
  <c r="R42" i="81"/>
  <c r="P42" i="81"/>
  <c r="X42" i="81" s="1"/>
  <c r="N42" i="81"/>
  <c r="H42" i="81"/>
  <c r="D42" i="81"/>
  <c r="L42" i="81" s="1"/>
  <c r="B42" i="81"/>
  <c r="Z41" i="81"/>
  <c r="X41" i="81"/>
  <c r="V41" i="81"/>
  <c r="R41" i="81"/>
  <c r="N41" i="81"/>
  <c r="L41" i="81"/>
  <c r="B41" i="81"/>
  <c r="Z40" i="81"/>
  <c r="T40" i="81"/>
  <c r="R40" i="81"/>
  <c r="P40" i="81"/>
  <c r="X40" i="81" s="1"/>
  <c r="N40" i="81"/>
  <c r="H40" i="81"/>
  <c r="D40" i="81"/>
  <c r="L40" i="81" s="1"/>
  <c r="B40" i="81"/>
  <c r="Z39" i="81"/>
  <c r="X39" i="81"/>
  <c r="R39" i="81"/>
  <c r="N39" i="81"/>
  <c r="L39" i="81"/>
  <c r="B39" i="81"/>
  <c r="Z38" i="81"/>
  <c r="X38" i="81"/>
  <c r="N38" i="81"/>
  <c r="L38" i="81"/>
  <c r="J38" i="81"/>
  <c r="F38" i="81"/>
  <c r="B38" i="81"/>
  <c r="Z37" i="81"/>
  <c r="X37" i="81"/>
  <c r="N37" i="81"/>
  <c r="L37" i="81"/>
  <c r="B37" i="81"/>
  <c r="Z36" i="81"/>
  <c r="X36" i="81"/>
  <c r="V36" i="81"/>
  <c r="N36" i="81"/>
  <c r="L36" i="81"/>
  <c r="B36" i="81"/>
  <c r="Z35" i="81"/>
  <c r="X35" i="81"/>
  <c r="R35" i="81"/>
  <c r="N35" i="81"/>
  <c r="L35" i="81"/>
  <c r="B35" i="81"/>
  <c r="Z34" i="81"/>
  <c r="X34" i="81"/>
  <c r="N34" i="81"/>
  <c r="L34" i="81"/>
  <c r="J34" i="81"/>
  <c r="F34" i="81"/>
  <c r="B34" i="81"/>
  <c r="Z33" i="81"/>
  <c r="X33" i="81"/>
  <c r="N33" i="81"/>
  <c r="L33" i="81"/>
  <c r="B33" i="81"/>
  <c r="Z32" i="81"/>
  <c r="X32" i="81"/>
  <c r="V32" i="81"/>
  <c r="N32" i="81"/>
  <c r="L32" i="81"/>
  <c r="B32" i="81"/>
  <c r="Z31" i="81"/>
  <c r="X31" i="81"/>
  <c r="R31" i="81"/>
  <c r="N31" i="81"/>
  <c r="L31" i="81"/>
  <c r="B31" i="81"/>
  <c r="Z30" i="81"/>
  <c r="X30" i="81"/>
  <c r="N30" i="81"/>
  <c r="L30" i="81"/>
  <c r="J30" i="81"/>
  <c r="F30" i="81"/>
  <c r="B30" i="81"/>
  <c r="Z29" i="81"/>
  <c r="T29" i="81"/>
  <c r="P29" i="81"/>
  <c r="X29" i="81" s="1"/>
  <c r="H29" i="81"/>
  <c r="N29" i="81" s="1"/>
  <c r="F29" i="81"/>
  <c r="D29" i="81"/>
  <c r="B29" i="81"/>
  <c r="Z28" i="81"/>
  <c r="X28" i="81"/>
  <c r="N28" i="81"/>
  <c r="L28" i="81"/>
  <c r="B28" i="81"/>
  <c r="Z27" i="81"/>
  <c r="X27" i="81"/>
  <c r="N27" i="81"/>
  <c r="L27" i="81"/>
  <c r="B27" i="81"/>
  <c r="Z26" i="81"/>
  <c r="X26" i="81"/>
  <c r="V26" i="81"/>
  <c r="R26" i="81"/>
  <c r="N26" i="81"/>
  <c r="L26" i="81"/>
  <c r="B26" i="81"/>
  <c r="Z25" i="81"/>
  <c r="X25" i="81"/>
  <c r="N25" i="81"/>
  <c r="L25" i="81"/>
  <c r="J25" i="81"/>
  <c r="F25" i="81"/>
  <c r="B25" i="81"/>
  <c r="Z24" i="81"/>
  <c r="X24" i="81"/>
  <c r="N24" i="81"/>
  <c r="L24" i="81"/>
  <c r="B24" i="81"/>
  <c r="Z23" i="81"/>
  <c r="X23" i="81"/>
  <c r="N23" i="81"/>
  <c r="L23" i="81"/>
  <c r="B23" i="81"/>
  <c r="Z22" i="81"/>
  <c r="X22" i="81"/>
  <c r="V22" i="81"/>
  <c r="R22" i="81"/>
  <c r="N22" i="81"/>
  <c r="L22" i="81"/>
  <c r="B22" i="81"/>
  <c r="Z21" i="81"/>
  <c r="X21" i="81"/>
  <c r="V21" i="81"/>
  <c r="N21" i="81"/>
  <c r="L21" i="81"/>
  <c r="J21" i="81"/>
  <c r="F21" i="81"/>
  <c r="B21" i="81"/>
  <c r="Z20" i="81"/>
  <c r="X20" i="81"/>
  <c r="N20" i="81"/>
  <c r="L20" i="81"/>
  <c r="B20" i="81"/>
  <c r="Z19" i="81"/>
  <c r="X19" i="81"/>
  <c r="T19" i="81"/>
  <c r="P19" i="81"/>
  <c r="H19" i="81"/>
  <c r="D19" i="81"/>
  <c r="L19" i="81" s="1"/>
  <c r="B19" i="81"/>
  <c r="Z18" i="81"/>
  <c r="T18" i="81"/>
  <c r="P18" i="81"/>
  <c r="X18" i="81" s="1"/>
  <c r="H18" i="81"/>
  <c r="F18" i="81"/>
  <c r="D18" i="81"/>
  <c r="L18" i="81" s="1"/>
  <c r="P16" i="81"/>
  <c r="F16" i="81"/>
  <c r="Z14" i="81"/>
  <c r="T14" i="81"/>
  <c r="T16" i="81" s="1"/>
  <c r="P14" i="81"/>
  <c r="X14" i="81" s="1"/>
  <c r="H14" i="81"/>
  <c r="N14" i="81" s="1"/>
  <c r="F14" i="81"/>
  <c r="D14" i="81"/>
  <c r="L14" i="81" s="1"/>
  <c r="Z12" i="81"/>
  <c r="T12" i="81"/>
  <c r="V78" i="81" s="1"/>
  <c r="P12" i="81"/>
  <c r="R89" i="81" s="1"/>
  <c r="L12" i="81"/>
  <c r="H12" i="81"/>
  <c r="J85" i="81" s="1"/>
  <c r="D12" i="81"/>
  <c r="F84" i="81" s="1"/>
  <c r="D6" i="81"/>
  <c r="D4" i="81"/>
  <c r="V36" i="80"/>
  <c r="Z34" i="80"/>
  <c r="X34" i="80"/>
  <c r="N34" i="80"/>
  <c r="L34" i="80"/>
  <c r="F34" i="80"/>
  <c r="R32" i="80"/>
  <c r="T30" i="80"/>
  <c r="Z30" i="80" s="1"/>
  <c r="P30" i="80"/>
  <c r="N30" i="80"/>
  <c r="H30" i="80"/>
  <c r="D30" i="80"/>
  <c r="L30" i="80" s="1"/>
  <c r="Z28" i="80"/>
  <c r="X28" i="80"/>
  <c r="N28" i="80"/>
  <c r="L28" i="80"/>
  <c r="J28" i="80"/>
  <c r="B28" i="80"/>
  <c r="T27" i="80"/>
  <c r="Z27" i="80" s="1"/>
  <c r="P27" i="80"/>
  <c r="X27" i="80" s="1"/>
  <c r="H27" i="80"/>
  <c r="D27" i="80"/>
  <c r="B27" i="80"/>
  <c r="Z26" i="80"/>
  <c r="X26" i="80"/>
  <c r="R26" i="80"/>
  <c r="N26" i="80"/>
  <c r="L26" i="80"/>
  <c r="J26" i="80"/>
  <c r="B26" i="80"/>
  <c r="V25" i="80"/>
  <c r="T25" i="80"/>
  <c r="Z25" i="80" s="1"/>
  <c r="P25" i="80"/>
  <c r="X25" i="80" s="1"/>
  <c r="H25" i="80"/>
  <c r="N25" i="80" s="1"/>
  <c r="F25" i="80"/>
  <c r="D25" i="80"/>
  <c r="L25" i="80" s="1"/>
  <c r="B25" i="80"/>
  <c r="Z24" i="80"/>
  <c r="X24" i="80"/>
  <c r="V24" i="80"/>
  <c r="N24" i="80"/>
  <c r="L24" i="80"/>
  <c r="J24" i="80"/>
  <c r="B24" i="80"/>
  <c r="Z23" i="80"/>
  <c r="X23" i="80"/>
  <c r="V23" i="80"/>
  <c r="T23" i="80"/>
  <c r="P23" i="80"/>
  <c r="N23" i="80"/>
  <c r="J23" i="80"/>
  <c r="H23" i="80"/>
  <c r="D23" i="80"/>
  <c r="L23" i="80" s="1"/>
  <c r="B23" i="80"/>
  <c r="X22" i="80"/>
  <c r="Z22" i="80" s="1"/>
  <c r="N22" i="80"/>
  <c r="L22" i="80"/>
  <c r="J22" i="80"/>
  <c r="F22" i="80"/>
  <c r="B22" i="80"/>
  <c r="T21" i="80"/>
  <c r="R21" i="80"/>
  <c r="P21" i="80"/>
  <c r="L21" i="80"/>
  <c r="J21" i="80"/>
  <c r="H21" i="80"/>
  <c r="F21" i="80"/>
  <c r="D21" i="80"/>
  <c r="B21" i="80"/>
  <c r="Z20" i="80"/>
  <c r="X20" i="80"/>
  <c r="V20" i="80"/>
  <c r="R20" i="80"/>
  <c r="N20" i="80"/>
  <c r="L20" i="80"/>
  <c r="J20" i="80"/>
  <c r="F20" i="80"/>
  <c r="B20" i="80"/>
  <c r="T19" i="80"/>
  <c r="Z19" i="80" s="1"/>
  <c r="P19" i="80"/>
  <c r="X19" i="80" s="1"/>
  <c r="J19" i="80"/>
  <c r="H19" i="80"/>
  <c r="N19" i="80" s="1"/>
  <c r="F19" i="80"/>
  <c r="D19" i="80"/>
  <c r="B19" i="80"/>
  <c r="T18" i="80"/>
  <c r="R18" i="80"/>
  <c r="P18" i="80"/>
  <c r="X18" i="80" s="1"/>
  <c r="J18" i="80"/>
  <c r="H18" i="80"/>
  <c r="N18" i="80" s="1"/>
  <c r="F18" i="80"/>
  <c r="D18" i="80"/>
  <c r="L18" i="80" s="1"/>
  <c r="R16" i="80"/>
  <c r="J16" i="80"/>
  <c r="F16" i="80"/>
  <c r="T14" i="80"/>
  <c r="Z14" i="80" s="1"/>
  <c r="R14" i="80"/>
  <c r="P14" i="80"/>
  <c r="X14" i="80" s="1"/>
  <c r="J14" i="80"/>
  <c r="H14" i="80"/>
  <c r="H16" i="80" s="1"/>
  <c r="N16" i="80" s="1"/>
  <c r="F14" i="80"/>
  <c r="D14" i="80"/>
  <c r="L14" i="80" s="1"/>
  <c r="T12" i="80"/>
  <c r="V21" i="80" s="1"/>
  <c r="P12" i="80"/>
  <c r="N12" i="80"/>
  <c r="L12" i="80"/>
  <c r="H12" i="80"/>
  <c r="D12" i="80"/>
  <c r="F24" i="80" s="1"/>
  <c r="D6" i="80"/>
  <c r="D4" i="80"/>
  <c r="Z93" i="79"/>
  <c r="X93" i="79"/>
  <c r="N93" i="79"/>
  <c r="L93" i="79"/>
  <c r="V91" i="79"/>
  <c r="V89" i="79"/>
  <c r="T89" i="79"/>
  <c r="Z89" i="79" s="1"/>
  <c r="P89" i="79"/>
  <c r="X89" i="79" s="1"/>
  <c r="H89" i="79"/>
  <c r="N89" i="79" s="1"/>
  <c r="D89" i="79"/>
  <c r="L89" i="79" s="1"/>
  <c r="Z87" i="79"/>
  <c r="X87" i="79"/>
  <c r="V87" i="79"/>
  <c r="N87" i="79"/>
  <c r="L87" i="79"/>
  <c r="B87" i="79"/>
  <c r="Z86" i="79"/>
  <c r="X86" i="79"/>
  <c r="V86" i="79"/>
  <c r="T86" i="79"/>
  <c r="P86" i="79"/>
  <c r="N86" i="79"/>
  <c r="H86" i="79"/>
  <c r="D86" i="79"/>
  <c r="L86" i="79" s="1"/>
  <c r="B86" i="79"/>
  <c r="Z85" i="79"/>
  <c r="X85" i="79"/>
  <c r="N85" i="79"/>
  <c r="L85" i="79"/>
  <c r="B85" i="79"/>
  <c r="T84" i="79"/>
  <c r="P84" i="79"/>
  <c r="L84" i="79"/>
  <c r="H84" i="79"/>
  <c r="N84" i="79" s="1"/>
  <c r="D84" i="79"/>
  <c r="B84" i="79"/>
  <c r="Z83" i="79"/>
  <c r="X83" i="79"/>
  <c r="V83" i="79"/>
  <c r="R83" i="79"/>
  <c r="N83" i="79"/>
  <c r="L83" i="79"/>
  <c r="B83" i="79"/>
  <c r="T82" i="79"/>
  <c r="Z82" i="79" s="1"/>
  <c r="P82" i="79"/>
  <c r="X82" i="79" s="1"/>
  <c r="H82" i="79"/>
  <c r="N82" i="79" s="1"/>
  <c r="D82" i="79"/>
  <c r="B82" i="79"/>
  <c r="Z81" i="79"/>
  <c r="X81" i="79"/>
  <c r="V81" i="79"/>
  <c r="N81" i="79"/>
  <c r="L81" i="79"/>
  <c r="B81" i="79"/>
  <c r="Z80" i="79"/>
  <c r="T80" i="79"/>
  <c r="P80" i="79"/>
  <c r="X80" i="79" s="1"/>
  <c r="N80" i="79"/>
  <c r="H80" i="79"/>
  <c r="D80" i="79"/>
  <c r="L80" i="79" s="1"/>
  <c r="B80" i="79"/>
  <c r="Z79" i="79"/>
  <c r="X79" i="79"/>
  <c r="N79" i="79"/>
  <c r="L79" i="79"/>
  <c r="B79" i="79"/>
  <c r="Z78" i="79"/>
  <c r="X78" i="79"/>
  <c r="N78" i="79"/>
  <c r="L78" i="79"/>
  <c r="B78" i="79"/>
  <c r="Z77" i="79"/>
  <c r="X77" i="79"/>
  <c r="N77" i="79"/>
  <c r="L77" i="79"/>
  <c r="B77" i="79"/>
  <c r="Z76" i="79"/>
  <c r="X76" i="79"/>
  <c r="V76" i="79"/>
  <c r="N76" i="79"/>
  <c r="L76" i="79"/>
  <c r="B76" i="79"/>
  <c r="Z75" i="79"/>
  <c r="X75" i="79"/>
  <c r="N75" i="79"/>
  <c r="L75" i="79"/>
  <c r="B75" i="79"/>
  <c r="Z74" i="79"/>
  <c r="X74" i="79"/>
  <c r="N74" i="79"/>
  <c r="L74" i="79"/>
  <c r="B74" i="79"/>
  <c r="Z73" i="79"/>
  <c r="X73" i="79"/>
  <c r="N73" i="79"/>
  <c r="L73" i="79"/>
  <c r="B73" i="79"/>
  <c r="Z72" i="79"/>
  <c r="X72" i="79"/>
  <c r="V72" i="79"/>
  <c r="R72" i="79"/>
  <c r="N72" i="79"/>
  <c r="L72" i="79"/>
  <c r="B72" i="79"/>
  <c r="Z71" i="79"/>
  <c r="X71" i="79"/>
  <c r="N71" i="79"/>
  <c r="L71" i="79"/>
  <c r="B71" i="79"/>
  <c r="X70" i="79"/>
  <c r="T70" i="79"/>
  <c r="Z70" i="79" s="1"/>
  <c r="P70" i="79"/>
  <c r="H70" i="79"/>
  <c r="D70" i="79"/>
  <c r="B70" i="79"/>
  <c r="Z69" i="79"/>
  <c r="X69" i="79"/>
  <c r="N69" i="79"/>
  <c r="L69" i="79"/>
  <c r="B69" i="79"/>
  <c r="T68" i="79"/>
  <c r="Z68" i="79" s="1"/>
  <c r="P68" i="79"/>
  <c r="H68" i="79"/>
  <c r="N68" i="79" s="1"/>
  <c r="D68" i="79"/>
  <c r="L68" i="79" s="1"/>
  <c r="B68" i="79"/>
  <c r="Z67" i="79"/>
  <c r="X67" i="79"/>
  <c r="V67" i="79"/>
  <c r="N67" i="79"/>
  <c r="L67" i="79"/>
  <c r="B67" i="79"/>
  <c r="Z66" i="79"/>
  <c r="X66" i="79"/>
  <c r="V66" i="79"/>
  <c r="N66" i="79"/>
  <c r="L66" i="79"/>
  <c r="B66" i="79"/>
  <c r="Z65" i="79"/>
  <c r="X65" i="79"/>
  <c r="V65" i="79"/>
  <c r="N65" i="79"/>
  <c r="L65" i="79"/>
  <c r="B65" i="79"/>
  <c r="Z64" i="79"/>
  <c r="X64" i="79"/>
  <c r="N64" i="79"/>
  <c r="L64" i="79"/>
  <c r="B64" i="79"/>
  <c r="V63" i="79"/>
  <c r="T63" i="79"/>
  <c r="Z63" i="79" s="1"/>
  <c r="P63" i="79"/>
  <c r="X63" i="79" s="1"/>
  <c r="H63" i="79"/>
  <c r="N63" i="79" s="1"/>
  <c r="D63" i="79"/>
  <c r="L63" i="79" s="1"/>
  <c r="B63" i="79"/>
  <c r="Z62" i="79"/>
  <c r="X62" i="79"/>
  <c r="V62" i="79"/>
  <c r="N62" i="79"/>
  <c r="L62" i="79"/>
  <c r="B62" i="79"/>
  <c r="Z61" i="79"/>
  <c r="X61" i="79"/>
  <c r="T61" i="79"/>
  <c r="P61" i="79"/>
  <c r="N61" i="79"/>
  <c r="H61" i="79"/>
  <c r="D61" i="79"/>
  <c r="L61" i="79" s="1"/>
  <c r="B61" i="79"/>
  <c r="Z60" i="79"/>
  <c r="X60" i="79"/>
  <c r="N60" i="79"/>
  <c r="L60" i="79"/>
  <c r="B60" i="79"/>
  <c r="Z59" i="79"/>
  <c r="X59" i="79"/>
  <c r="V59" i="79"/>
  <c r="R59" i="79"/>
  <c r="N59" i="79"/>
  <c r="L59" i="79"/>
  <c r="B59" i="79"/>
  <c r="T58" i="79"/>
  <c r="Z58" i="79" s="1"/>
  <c r="P58" i="79"/>
  <c r="X58" i="79" s="1"/>
  <c r="H58" i="79"/>
  <c r="N58" i="79" s="1"/>
  <c r="D58" i="79"/>
  <c r="B58" i="79"/>
  <c r="Z57" i="79"/>
  <c r="X57" i="79"/>
  <c r="V57" i="79"/>
  <c r="L57" i="79"/>
  <c r="N57" i="79" s="1"/>
  <c r="B57" i="79"/>
  <c r="V56" i="79"/>
  <c r="T56" i="79"/>
  <c r="P56" i="79"/>
  <c r="X56" i="79" s="1"/>
  <c r="Z56" i="79" s="1"/>
  <c r="H56" i="79"/>
  <c r="D56" i="79"/>
  <c r="L56" i="79" s="1"/>
  <c r="N56" i="79" s="1"/>
  <c r="B56" i="79"/>
  <c r="Z55" i="79"/>
  <c r="X55" i="79"/>
  <c r="N55" i="79"/>
  <c r="L55" i="79"/>
  <c r="B55" i="79"/>
  <c r="X54" i="79"/>
  <c r="V54" i="79"/>
  <c r="T54" i="79"/>
  <c r="Z54" i="79" s="1"/>
  <c r="P54" i="79"/>
  <c r="H54" i="79"/>
  <c r="D54" i="79"/>
  <c r="B54" i="79"/>
  <c r="Z53" i="79"/>
  <c r="X53" i="79"/>
  <c r="V53" i="79"/>
  <c r="N53" i="79"/>
  <c r="L53" i="79"/>
  <c r="B53" i="79"/>
  <c r="T52" i="79"/>
  <c r="Z52" i="79" s="1"/>
  <c r="P52" i="79"/>
  <c r="X52" i="79" s="1"/>
  <c r="H52" i="79"/>
  <c r="D52" i="79"/>
  <c r="L52" i="79" s="1"/>
  <c r="B52" i="79"/>
  <c r="Z51" i="79"/>
  <c r="X51" i="79"/>
  <c r="V51" i="79"/>
  <c r="N51" i="79"/>
  <c r="L51" i="79"/>
  <c r="B51" i="79"/>
  <c r="Z50" i="79"/>
  <c r="X50" i="79"/>
  <c r="V50" i="79"/>
  <c r="T50" i="79"/>
  <c r="P50" i="79"/>
  <c r="N50" i="79"/>
  <c r="H50" i="79"/>
  <c r="D50" i="79"/>
  <c r="L50" i="79" s="1"/>
  <c r="B50" i="79"/>
  <c r="X49" i="79"/>
  <c r="Z49" i="79" s="1"/>
  <c r="N49" i="79"/>
  <c r="L49" i="79"/>
  <c r="B49" i="79"/>
  <c r="Z48" i="79"/>
  <c r="X48" i="79"/>
  <c r="V48" i="79"/>
  <c r="R48" i="79"/>
  <c r="N48" i="79"/>
  <c r="L48" i="79"/>
  <c r="B48" i="79"/>
  <c r="T47" i="79"/>
  <c r="P47" i="79"/>
  <c r="X47" i="79" s="1"/>
  <c r="Z47" i="79" s="1"/>
  <c r="L47" i="79"/>
  <c r="N47" i="79" s="1"/>
  <c r="H47" i="79"/>
  <c r="D47" i="79"/>
  <c r="B47" i="79"/>
  <c r="Z46" i="79"/>
  <c r="X46" i="79"/>
  <c r="R46" i="79"/>
  <c r="N46" i="79"/>
  <c r="L46" i="79"/>
  <c r="B46" i="79"/>
  <c r="Z45" i="79"/>
  <c r="X45" i="79"/>
  <c r="V45" i="79"/>
  <c r="T45" i="79"/>
  <c r="P45" i="79"/>
  <c r="H45" i="79"/>
  <c r="L45" i="79" s="1"/>
  <c r="D45" i="79"/>
  <c r="B45" i="79"/>
  <c r="Z44" i="79"/>
  <c r="X44" i="79"/>
  <c r="V44" i="79"/>
  <c r="N44" i="79"/>
  <c r="L44" i="79"/>
  <c r="B44" i="79"/>
  <c r="V43" i="79"/>
  <c r="T43" i="79"/>
  <c r="Z43" i="79" s="1"/>
  <c r="P43" i="79"/>
  <c r="X43" i="79" s="1"/>
  <c r="H43" i="79"/>
  <c r="N43" i="79" s="1"/>
  <c r="D43" i="79"/>
  <c r="L43" i="79" s="1"/>
  <c r="B43" i="79"/>
  <c r="Z42" i="79"/>
  <c r="X42" i="79"/>
  <c r="V42" i="79"/>
  <c r="N42" i="79"/>
  <c r="L42" i="79"/>
  <c r="B42" i="79"/>
  <c r="Z41" i="79"/>
  <c r="X41" i="79"/>
  <c r="N41" i="79"/>
  <c r="L41" i="79"/>
  <c r="B41" i="79"/>
  <c r="Z40" i="79"/>
  <c r="X40" i="79"/>
  <c r="V40" i="79"/>
  <c r="R40" i="79"/>
  <c r="N40" i="79"/>
  <c r="L40" i="79"/>
  <c r="B40" i="79"/>
  <c r="Z39" i="79"/>
  <c r="X39" i="79"/>
  <c r="N39" i="79"/>
  <c r="L39" i="79"/>
  <c r="J39" i="79"/>
  <c r="B39" i="79"/>
  <c r="Z38" i="79"/>
  <c r="X38" i="79"/>
  <c r="V38" i="79"/>
  <c r="N38" i="79"/>
  <c r="L38" i="79"/>
  <c r="B38" i="79"/>
  <c r="Z37" i="79"/>
  <c r="X37" i="79"/>
  <c r="N37" i="79"/>
  <c r="L37" i="79"/>
  <c r="B37" i="79"/>
  <c r="Z36" i="79"/>
  <c r="X36" i="79"/>
  <c r="V36" i="79"/>
  <c r="R36" i="79"/>
  <c r="N36" i="79"/>
  <c r="L36" i="79"/>
  <c r="B36" i="79"/>
  <c r="Z35" i="79"/>
  <c r="X35" i="79"/>
  <c r="N35" i="79"/>
  <c r="L35" i="79"/>
  <c r="B35" i="79"/>
  <c r="Z34" i="79"/>
  <c r="X34" i="79"/>
  <c r="V34" i="79"/>
  <c r="N34" i="79"/>
  <c r="L34" i="79"/>
  <c r="B34" i="79"/>
  <c r="Z33" i="79"/>
  <c r="X33" i="79"/>
  <c r="N33" i="79"/>
  <c r="L33" i="79"/>
  <c r="B33" i="79"/>
  <c r="V32" i="79"/>
  <c r="T32" i="79"/>
  <c r="Z32" i="79" s="1"/>
  <c r="R32" i="79"/>
  <c r="P32" i="79"/>
  <c r="L32" i="79"/>
  <c r="H32" i="79"/>
  <c r="N32" i="79" s="1"/>
  <c r="D32" i="79"/>
  <c r="B32" i="79"/>
  <c r="Z31" i="79"/>
  <c r="X31" i="79"/>
  <c r="V31" i="79"/>
  <c r="R31" i="79"/>
  <c r="N31" i="79"/>
  <c r="L31" i="79"/>
  <c r="B31" i="79"/>
  <c r="Z30" i="79"/>
  <c r="X30" i="79"/>
  <c r="N30" i="79"/>
  <c r="L30" i="79"/>
  <c r="B30" i="79"/>
  <c r="Z29" i="79"/>
  <c r="X29" i="79"/>
  <c r="V29" i="79"/>
  <c r="N29" i="79"/>
  <c r="L29" i="79"/>
  <c r="B29" i="79"/>
  <c r="Z28" i="79"/>
  <c r="X28" i="79"/>
  <c r="N28" i="79"/>
  <c r="L28" i="79"/>
  <c r="B28" i="79"/>
  <c r="Z27" i="79"/>
  <c r="X27" i="79"/>
  <c r="V27" i="79"/>
  <c r="R27" i="79"/>
  <c r="N27" i="79"/>
  <c r="L27" i="79"/>
  <c r="B27" i="79"/>
  <c r="Z26" i="79"/>
  <c r="X26" i="79"/>
  <c r="R26" i="79"/>
  <c r="N26" i="79"/>
  <c r="L26" i="79"/>
  <c r="B26" i="79"/>
  <c r="Z25" i="79"/>
  <c r="X25" i="79"/>
  <c r="V25" i="79"/>
  <c r="N25" i="79"/>
  <c r="L25" i="79"/>
  <c r="B25" i="79"/>
  <c r="Z24" i="79"/>
  <c r="X24" i="79"/>
  <c r="R24" i="79"/>
  <c r="N24" i="79"/>
  <c r="L24" i="79"/>
  <c r="B24" i="79"/>
  <c r="Z23" i="79"/>
  <c r="X23" i="79"/>
  <c r="V23" i="79"/>
  <c r="T23" i="79"/>
  <c r="P23" i="79"/>
  <c r="N23" i="79"/>
  <c r="L23" i="79"/>
  <c r="H23" i="79"/>
  <c r="D23" i="79"/>
  <c r="B23" i="79"/>
  <c r="V22" i="79"/>
  <c r="T22" i="79"/>
  <c r="P22" i="79"/>
  <c r="X22" i="79" s="1"/>
  <c r="Z22" i="79" s="1"/>
  <c r="H22" i="79"/>
  <c r="D22" i="79"/>
  <c r="L22" i="79" s="1"/>
  <c r="N22" i="79" s="1"/>
  <c r="Z20" i="79"/>
  <c r="V20" i="79"/>
  <c r="Z18" i="79"/>
  <c r="X18" i="79"/>
  <c r="V18" i="79"/>
  <c r="N18" i="79"/>
  <c r="L18" i="79"/>
  <c r="B18" i="79"/>
  <c r="Z17" i="79"/>
  <c r="X17" i="79"/>
  <c r="V17" i="79"/>
  <c r="R17" i="79"/>
  <c r="N17" i="79"/>
  <c r="L17" i="79"/>
  <c r="B17" i="79"/>
  <c r="Z16" i="79"/>
  <c r="V16" i="79"/>
  <c r="T16" i="79"/>
  <c r="T20" i="79" s="1"/>
  <c r="T91" i="79" s="1"/>
  <c r="P16" i="79"/>
  <c r="X16" i="79" s="1"/>
  <c r="N16" i="79"/>
  <c r="L16" i="79"/>
  <c r="H16" i="79"/>
  <c r="D16" i="79"/>
  <c r="Z14" i="79"/>
  <c r="X14" i="79"/>
  <c r="P14" i="79"/>
  <c r="N14" i="79"/>
  <c r="D14" i="79"/>
  <c r="L14" i="79" s="1"/>
  <c r="B14" i="79"/>
  <c r="Z13" i="79"/>
  <c r="X13" i="79"/>
  <c r="P13" i="79"/>
  <c r="N13" i="79"/>
  <c r="L13" i="79"/>
  <c r="D13" i="79"/>
  <c r="B13" i="79"/>
  <c r="Z12" i="79"/>
  <c r="T12" i="79"/>
  <c r="V68" i="79" s="1"/>
  <c r="P12" i="79"/>
  <c r="R61" i="79" s="1"/>
  <c r="H12" i="79"/>
  <c r="J56" i="79" s="1"/>
  <c r="D6" i="79"/>
  <c r="D4" i="79"/>
  <c r="X32" i="78"/>
  <c r="Z32" i="78" s="1"/>
  <c r="L32" i="78"/>
  <c r="N32" i="78" s="1"/>
  <c r="T28" i="78"/>
  <c r="Z28" i="78" s="1"/>
  <c r="P28" i="78"/>
  <c r="X28" i="78" s="1"/>
  <c r="H28" i="78"/>
  <c r="N28" i="78" s="1"/>
  <c r="D28" i="78"/>
  <c r="Z26" i="78"/>
  <c r="X26" i="78"/>
  <c r="N26" i="78"/>
  <c r="L26" i="78"/>
  <c r="B26" i="78"/>
  <c r="T25" i="78"/>
  <c r="P25" i="78"/>
  <c r="N25" i="78"/>
  <c r="L25" i="78"/>
  <c r="H25" i="78"/>
  <c r="D25" i="78"/>
  <c r="B25" i="78"/>
  <c r="Z24" i="78"/>
  <c r="X24" i="78"/>
  <c r="L24" i="78"/>
  <c r="N24" i="78" s="1"/>
  <c r="J24" i="78"/>
  <c r="B24" i="78"/>
  <c r="T23" i="78"/>
  <c r="P23" i="78"/>
  <c r="X23" i="78" s="1"/>
  <c r="H23" i="78"/>
  <c r="D23" i="78"/>
  <c r="B23" i="78"/>
  <c r="X22" i="78"/>
  <c r="T22" i="78"/>
  <c r="P22" i="78"/>
  <c r="H22" i="78"/>
  <c r="F22" i="78"/>
  <c r="D22" i="78"/>
  <c r="T20" i="78"/>
  <c r="Z18" i="78"/>
  <c r="X18" i="78"/>
  <c r="V18" i="78"/>
  <c r="N18" i="78"/>
  <c r="L18" i="78"/>
  <c r="F18" i="78"/>
  <c r="B18" i="78"/>
  <c r="X17" i="78"/>
  <c r="Z17" i="78" s="1"/>
  <c r="N17" i="78"/>
  <c r="L17" i="78"/>
  <c r="J17" i="78"/>
  <c r="F17" i="78"/>
  <c r="B17" i="78"/>
  <c r="T16" i="78"/>
  <c r="P16" i="78"/>
  <c r="L16" i="78"/>
  <c r="J16" i="78"/>
  <c r="H16" i="78"/>
  <c r="D16" i="78"/>
  <c r="Z14" i="78"/>
  <c r="X14" i="78"/>
  <c r="P14" i="78"/>
  <c r="N14" i="78"/>
  <c r="L14" i="78"/>
  <c r="D14" i="78"/>
  <c r="B14" i="78"/>
  <c r="X13" i="78"/>
  <c r="Z13" i="78" s="1"/>
  <c r="P13" i="78"/>
  <c r="N13" i="78"/>
  <c r="L13" i="78"/>
  <c r="D13" i="78"/>
  <c r="B13" i="78"/>
  <c r="T12" i="78"/>
  <c r="V22" i="78" s="1"/>
  <c r="L12" i="78"/>
  <c r="H12" i="78"/>
  <c r="D12" i="78"/>
  <c r="D6" i="78"/>
  <c r="D4" i="78"/>
  <c r="X124" i="77"/>
  <c r="Z124" i="77" s="1"/>
  <c r="V124" i="77"/>
  <c r="N124" i="77"/>
  <c r="L124" i="77"/>
  <c r="T120" i="77"/>
  <c r="Z120" i="77" s="1"/>
  <c r="P120" i="77"/>
  <c r="X120" i="77" s="1"/>
  <c r="N120" i="77"/>
  <c r="H120" i="77"/>
  <c r="D120" i="77"/>
  <c r="L120" i="77" s="1"/>
  <c r="X118" i="77"/>
  <c r="Z118" i="77" s="1"/>
  <c r="L118" i="77"/>
  <c r="N118" i="77" s="1"/>
  <c r="B118" i="77"/>
  <c r="T117" i="77"/>
  <c r="P117" i="77"/>
  <c r="H117" i="77"/>
  <c r="D117" i="77"/>
  <c r="L117" i="77" s="1"/>
  <c r="N117" i="77" s="1"/>
  <c r="B117" i="77"/>
  <c r="X116" i="77"/>
  <c r="Z116" i="77" s="1"/>
  <c r="L116" i="77"/>
  <c r="N116" i="77" s="1"/>
  <c r="B116" i="77"/>
  <c r="Z115" i="77"/>
  <c r="X115" i="77"/>
  <c r="N115" i="77"/>
  <c r="L115" i="77"/>
  <c r="B115" i="77"/>
  <c r="X114" i="77"/>
  <c r="V114" i="77"/>
  <c r="T114" i="77"/>
  <c r="P114" i="77"/>
  <c r="H114" i="77"/>
  <c r="D114" i="77"/>
  <c r="L114" i="77" s="1"/>
  <c r="B114" i="77"/>
  <c r="Z113" i="77"/>
  <c r="X113" i="77"/>
  <c r="V113" i="77"/>
  <c r="N113" i="77"/>
  <c r="L113" i="77"/>
  <c r="B113" i="77"/>
  <c r="Z112" i="77"/>
  <c r="X112" i="77"/>
  <c r="T112" i="77"/>
  <c r="P112" i="77"/>
  <c r="N112" i="77"/>
  <c r="H112" i="77"/>
  <c r="D112" i="77"/>
  <c r="L112" i="77" s="1"/>
  <c r="B112" i="77"/>
  <c r="Z111" i="77"/>
  <c r="X111" i="77"/>
  <c r="N111" i="77"/>
  <c r="L111" i="77"/>
  <c r="J111" i="77"/>
  <c r="B111" i="77"/>
  <c r="X110" i="77"/>
  <c r="Z110" i="77" s="1"/>
  <c r="L110" i="77"/>
  <c r="N110" i="77" s="1"/>
  <c r="B110" i="77"/>
  <c r="T109" i="77"/>
  <c r="P109" i="77"/>
  <c r="H109" i="77"/>
  <c r="D109" i="77"/>
  <c r="L109" i="77" s="1"/>
  <c r="N109" i="77" s="1"/>
  <c r="B109" i="77"/>
  <c r="X108" i="77"/>
  <c r="Z108" i="77" s="1"/>
  <c r="N108" i="77"/>
  <c r="L108" i="77"/>
  <c r="B108" i="77"/>
  <c r="Z107" i="77"/>
  <c r="X107" i="77"/>
  <c r="L107" i="77"/>
  <c r="N107" i="77" s="1"/>
  <c r="B107" i="77"/>
  <c r="X106" i="77"/>
  <c r="Z106" i="77" s="1"/>
  <c r="N106" i="77"/>
  <c r="L106" i="77"/>
  <c r="B106" i="77"/>
  <c r="X105" i="77"/>
  <c r="Z105" i="77" s="1"/>
  <c r="L105" i="77"/>
  <c r="N105" i="77" s="1"/>
  <c r="J105" i="77"/>
  <c r="B105" i="77"/>
  <c r="X104" i="77"/>
  <c r="Z104" i="77" s="1"/>
  <c r="L104" i="77"/>
  <c r="N104" i="77" s="1"/>
  <c r="B104" i="77"/>
  <c r="Z103" i="77"/>
  <c r="X103" i="77"/>
  <c r="V103" i="77"/>
  <c r="N103" i="77"/>
  <c r="L103" i="77"/>
  <c r="B103" i="77"/>
  <c r="T102" i="77"/>
  <c r="P102" i="77"/>
  <c r="L102" i="77"/>
  <c r="J102" i="77"/>
  <c r="H102" i="77"/>
  <c r="D102" i="77"/>
  <c r="B102" i="77"/>
  <c r="Z101" i="77"/>
  <c r="X101" i="77"/>
  <c r="N101" i="77"/>
  <c r="L101" i="77"/>
  <c r="B101" i="77"/>
  <c r="X100" i="77"/>
  <c r="Z100" i="77" s="1"/>
  <c r="N100" i="77"/>
  <c r="L100" i="77"/>
  <c r="B100" i="77"/>
  <c r="X99" i="77"/>
  <c r="Z99" i="77" s="1"/>
  <c r="V99" i="77"/>
  <c r="T99" i="77"/>
  <c r="P99" i="77"/>
  <c r="H99" i="77"/>
  <c r="N99" i="77" s="1"/>
  <c r="D99" i="77"/>
  <c r="B99" i="77"/>
  <c r="X98" i="77"/>
  <c r="Z98" i="77" s="1"/>
  <c r="L98" i="77"/>
  <c r="N98" i="77" s="1"/>
  <c r="B98" i="77"/>
  <c r="Z97" i="77"/>
  <c r="X97" i="77"/>
  <c r="L97" i="77"/>
  <c r="N97" i="77" s="1"/>
  <c r="B97" i="77"/>
  <c r="Z96" i="77"/>
  <c r="X96" i="77"/>
  <c r="N96" i="77"/>
  <c r="L96" i="77"/>
  <c r="B96" i="77"/>
  <c r="T95" i="77"/>
  <c r="P95" i="77"/>
  <c r="H95" i="77"/>
  <c r="D95" i="77"/>
  <c r="B95" i="77"/>
  <c r="X94" i="77"/>
  <c r="Z94" i="77" s="1"/>
  <c r="N94" i="77"/>
  <c r="L94" i="77"/>
  <c r="B94" i="77"/>
  <c r="Z93" i="77"/>
  <c r="X93" i="77"/>
  <c r="N93" i="77"/>
  <c r="L93" i="77"/>
  <c r="B93" i="77"/>
  <c r="Z92" i="77"/>
  <c r="X92" i="77"/>
  <c r="N92" i="77"/>
  <c r="L92" i="77"/>
  <c r="B92" i="77"/>
  <c r="T91" i="77"/>
  <c r="P91" i="77"/>
  <c r="X91" i="77" s="1"/>
  <c r="Z91" i="77" s="1"/>
  <c r="H91" i="77"/>
  <c r="D91" i="77"/>
  <c r="L91" i="77" s="1"/>
  <c r="N91" i="77" s="1"/>
  <c r="B91" i="77"/>
  <c r="Z90" i="77"/>
  <c r="X90" i="77"/>
  <c r="L90" i="77"/>
  <c r="N90" i="77" s="1"/>
  <c r="B90" i="77"/>
  <c r="T89" i="77"/>
  <c r="X89" i="77" s="1"/>
  <c r="Z89" i="77" s="1"/>
  <c r="P89" i="77"/>
  <c r="H89" i="77"/>
  <c r="D89" i="77"/>
  <c r="L89" i="77" s="1"/>
  <c r="N89" i="77" s="1"/>
  <c r="B89" i="77"/>
  <c r="X88" i="77"/>
  <c r="Z88" i="77" s="1"/>
  <c r="N88" i="77"/>
  <c r="L88" i="77"/>
  <c r="B88" i="77"/>
  <c r="X87" i="77"/>
  <c r="Z87" i="77" s="1"/>
  <c r="V87" i="77"/>
  <c r="T87" i="77"/>
  <c r="P87" i="77"/>
  <c r="H87" i="77"/>
  <c r="N87" i="77" s="1"/>
  <c r="D87" i="77"/>
  <c r="L87" i="77" s="1"/>
  <c r="B87" i="77"/>
  <c r="X86" i="77"/>
  <c r="Z86" i="77" s="1"/>
  <c r="N86" i="77"/>
  <c r="L86" i="77"/>
  <c r="B86" i="77"/>
  <c r="T85" i="77"/>
  <c r="P85" i="77"/>
  <c r="X85" i="77" s="1"/>
  <c r="Z85" i="77" s="1"/>
  <c r="H85" i="77"/>
  <c r="D85" i="77"/>
  <c r="L85" i="77" s="1"/>
  <c r="N85" i="77" s="1"/>
  <c r="B85" i="77"/>
  <c r="X84" i="77"/>
  <c r="Z84" i="77" s="1"/>
  <c r="L84" i="77"/>
  <c r="N84" i="77" s="1"/>
  <c r="B84" i="77"/>
  <c r="T83" i="77"/>
  <c r="P83" i="77"/>
  <c r="X83" i="77" s="1"/>
  <c r="Z83" i="77" s="1"/>
  <c r="H83" i="77"/>
  <c r="L83" i="77" s="1"/>
  <c r="N83" i="77" s="1"/>
  <c r="D83" i="77"/>
  <c r="B83" i="77"/>
  <c r="X82" i="77"/>
  <c r="Z82" i="77" s="1"/>
  <c r="L82" i="77"/>
  <c r="N82" i="77" s="1"/>
  <c r="B82" i="77"/>
  <c r="Z81" i="77"/>
  <c r="X81" i="77"/>
  <c r="N81" i="77"/>
  <c r="L81" i="77"/>
  <c r="B81" i="77"/>
  <c r="T80" i="77"/>
  <c r="P80" i="77"/>
  <c r="X80" i="77" s="1"/>
  <c r="Z80" i="77" s="1"/>
  <c r="H80" i="77"/>
  <c r="D80" i="77"/>
  <c r="L80" i="77" s="1"/>
  <c r="N80" i="77" s="1"/>
  <c r="B80" i="77"/>
  <c r="Z79" i="77"/>
  <c r="X79" i="77"/>
  <c r="N79" i="77"/>
  <c r="L79" i="77"/>
  <c r="B79" i="77"/>
  <c r="X78" i="77"/>
  <c r="Z78" i="77" s="1"/>
  <c r="T78" i="77"/>
  <c r="P78" i="77"/>
  <c r="H78" i="77"/>
  <c r="D78" i="77"/>
  <c r="B78" i="77"/>
  <c r="Z77" i="77"/>
  <c r="X77" i="77"/>
  <c r="N77" i="77"/>
  <c r="L77" i="77"/>
  <c r="B77" i="77"/>
  <c r="T76" i="77"/>
  <c r="Z76" i="77" s="1"/>
  <c r="P76" i="77"/>
  <c r="X76" i="77" s="1"/>
  <c r="H76" i="77"/>
  <c r="N76" i="77" s="1"/>
  <c r="D76" i="77"/>
  <c r="L76" i="77" s="1"/>
  <c r="B76" i="77"/>
  <c r="X75" i="77"/>
  <c r="Z75" i="77" s="1"/>
  <c r="V75" i="77"/>
  <c r="N75" i="77"/>
  <c r="L75" i="77"/>
  <c r="B75" i="77"/>
  <c r="T74" i="77"/>
  <c r="P74" i="77"/>
  <c r="X74" i="77" s="1"/>
  <c r="Z74" i="77" s="1"/>
  <c r="H74" i="77"/>
  <c r="D74" i="77"/>
  <c r="L74" i="77" s="1"/>
  <c r="N74" i="77" s="1"/>
  <c r="B74" i="77"/>
  <c r="Z73" i="77"/>
  <c r="X73" i="77"/>
  <c r="N73" i="77"/>
  <c r="L73" i="77"/>
  <c r="B73" i="77"/>
  <c r="T72" i="77"/>
  <c r="P72" i="77"/>
  <c r="L72" i="77"/>
  <c r="N72" i="77" s="1"/>
  <c r="H72" i="77"/>
  <c r="D72" i="77"/>
  <c r="B72" i="77"/>
  <c r="Z71" i="77"/>
  <c r="X71" i="77"/>
  <c r="L71" i="77"/>
  <c r="N71" i="77" s="1"/>
  <c r="J71" i="77"/>
  <c r="B71" i="77"/>
  <c r="T70" i="77"/>
  <c r="Z70" i="77" s="1"/>
  <c r="P70" i="77"/>
  <c r="X70" i="77" s="1"/>
  <c r="H70" i="77"/>
  <c r="D70" i="77"/>
  <c r="B70" i="77"/>
  <c r="Z69" i="77"/>
  <c r="X69" i="77"/>
  <c r="N69" i="77"/>
  <c r="L69" i="77"/>
  <c r="B69" i="77"/>
  <c r="T68" i="77"/>
  <c r="P68" i="77"/>
  <c r="X68" i="77" s="1"/>
  <c r="Z68" i="77" s="1"/>
  <c r="H68" i="77"/>
  <c r="D68" i="77"/>
  <c r="L68" i="77" s="1"/>
  <c r="N68" i="77" s="1"/>
  <c r="B68" i="77"/>
  <c r="Z67" i="77"/>
  <c r="X67" i="77"/>
  <c r="N67" i="77"/>
  <c r="L67" i="77"/>
  <c r="B67" i="77"/>
  <c r="Z66" i="77"/>
  <c r="X66" i="77"/>
  <c r="N66" i="77"/>
  <c r="L66" i="77"/>
  <c r="B66" i="77"/>
  <c r="Z65" i="77"/>
  <c r="X65" i="77"/>
  <c r="N65" i="77"/>
  <c r="L65" i="77"/>
  <c r="B65" i="77"/>
  <c r="X64" i="77"/>
  <c r="Z64" i="77" s="1"/>
  <c r="N64" i="77"/>
  <c r="L64" i="77"/>
  <c r="B64" i="77"/>
  <c r="Z63" i="77"/>
  <c r="X63" i="77"/>
  <c r="N63" i="77"/>
  <c r="L63" i="77"/>
  <c r="B63" i="77"/>
  <c r="Z62" i="77"/>
  <c r="X62" i="77"/>
  <c r="N62" i="77"/>
  <c r="L62" i="77"/>
  <c r="B62" i="77"/>
  <c r="Z61" i="77"/>
  <c r="X61" i="77"/>
  <c r="N61" i="77"/>
  <c r="L61" i="77"/>
  <c r="B61" i="77"/>
  <c r="Z60" i="77"/>
  <c r="X60" i="77"/>
  <c r="N60" i="77"/>
  <c r="L60" i="77"/>
  <c r="B60" i="77"/>
  <c r="Z59" i="77"/>
  <c r="X59" i="77"/>
  <c r="N59" i="77"/>
  <c r="L59" i="77"/>
  <c r="B59" i="77"/>
  <c r="Z58" i="77"/>
  <c r="X58" i="77"/>
  <c r="N58" i="77"/>
  <c r="L58" i="77"/>
  <c r="B58" i="77"/>
  <c r="T57" i="77"/>
  <c r="P57" i="77"/>
  <c r="X57" i="77" s="1"/>
  <c r="Z57" i="77" s="1"/>
  <c r="H57" i="77"/>
  <c r="D57" i="77"/>
  <c r="L57" i="77" s="1"/>
  <c r="N57" i="77" s="1"/>
  <c r="B57" i="77"/>
  <c r="X56" i="77"/>
  <c r="Z56" i="77" s="1"/>
  <c r="L56" i="77"/>
  <c r="N56" i="77" s="1"/>
  <c r="B56" i="77"/>
  <c r="X55" i="77"/>
  <c r="Z55" i="77" s="1"/>
  <c r="V55" i="77"/>
  <c r="L55" i="77"/>
  <c r="N55" i="77" s="1"/>
  <c r="J55" i="77"/>
  <c r="B55" i="77"/>
  <c r="Z54" i="77"/>
  <c r="X54" i="77"/>
  <c r="L54" i="77"/>
  <c r="N54" i="77" s="1"/>
  <c r="B54" i="77"/>
  <c r="Z53" i="77"/>
  <c r="X53" i="77"/>
  <c r="N53" i="77"/>
  <c r="L53" i="77"/>
  <c r="B53" i="77"/>
  <c r="X52" i="77"/>
  <c r="Z52" i="77" s="1"/>
  <c r="L52" i="77"/>
  <c r="N52" i="77" s="1"/>
  <c r="B52" i="77"/>
  <c r="X51" i="77"/>
  <c r="Z51" i="77" s="1"/>
  <c r="V51" i="77"/>
  <c r="L51" i="77"/>
  <c r="N51" i="77" s="1"/>
  <c r="J51" i="77"/>
  <c r="B51" i="77"/>
  <c r="Z50" i="77"/>
  <c r="X50" i="77"/>
  <c r="L50" i="77"/>
  <c r="N50" i="77" s="1"/>
  <c r="B50" i="77"/>
  <c r="Z49" i="77"/>
  <c r="X49" i="77"/>
  <c r="N49" i="77"/>
  <c r="L49" i="77"/>
  <c r="B49" i="77"/>
  <c r="X48" i="77"/>
  <c r="Z48" i="77" s="1"/>
  <c r="L48" i="77"/>
  <c r="N48" i="77" s="1"/>
  <c r="B48" i="77"/>
  <c r="V47" i="77"/>
  <c r="T47" i="77"/>
  <c r="P47" i="77"/>
  <c r="X47" i="77" s="1"/>
  <c r="Z47" i="77" s="1"/>
  <c r="N47" i="77"/>
  <c r="H47" i="77"/>
  <c r="L47" i="77" s="1"/>
  <c r="D47" i="77"/>
  <c r="B47" i="77"/>
  <c r="T46" i="77"/>
  <c r="P46" i="77"/>
  <c r="X46" i="77" s="1"/>
  <c r="H46" i="77"/>
  <c r="D46" i="77"/>
  <c r="L46" i="77" s="1"/>
  <c r="T44" i="77"/>
  <c r="Z42" i="77"/>
  <c r="X42" i="77"/>
  <c r="N42" i="77"/>
  <c r="L42" i="77"/>
  <c r="B42" i="77"/>
  <c r="Z41" i="77"/>
  <c r="X41" i="77"/>
  <c r="V41" i="77"/>
  <c r="N41" i="77"/>
  <c r="L41" i="77"/>
  <c r="B41" i="77"/>
  <c r="Z40" i="77"/>
  <c r="X40" i="77"/>
  <c r="N40" i="77"/>
  <c r="L40" i="77"/>
  <c r="B40" i="77"/>
  <c r="Z39" i="77"/>
  <c r="X39" i="77"/>
  <c r="V39" i="77"/>
  <c r="N39" i="77"/>
  <c r="L39" i="77"/>
  <c r="B39" i="77"/>
  <c r="Z38" i="77"/>
  <c r="X38" i="77"/>
  <c r="N38" i="77"/>
  <c r="L38" i="77"/>
  <c r="B38" i="77"/>
  <c r="Z37" i="77"/>
  <c r="X37" i="77"/>
  <c r="V37" i="77"/>
  <c r="N37" i="77"/>
  <c r="L37" i="77"/>
  <c r="B37" i="77"/>
  <c r="X36" i="77"/>
  <c r="Z36" i="77" s="1"/>
  <c r="L36" i="77"/>
  <c r="N36" i="77" s="1"/>
  <c r="B36" i="77"/>
  <c r="Z35" i="77"/>
  <c r="X35" i="77"/>
  <c r="V35" i="77"/>
  <c r="T35" i="77"/>
  <c r="P35" i="77"/>
  <c r="J35" i="77"/>
  <c r="H35" i="77"/>
  <c r="D35" i="77"/>
  <c r="L35" i="77" s="1"/>
  <c r="Z33" i="77"/>
  <c r="P33" i="77"/>
  <c r="X33" i="77" s="1"/>
  <c r="N33" i="77"/>
  <c r="L33" i="77"/>
  <c r="D33" i="77"/>
  <c r="B33" i="77"/>
  <c r="Z32" i="77"/>
  <c r="X32" i="77"/>
  <c r="P32" i="77"/>
  <c r="N32" i="77"/>
  <c r="D32" i="77"/>
  <c r="L32" i="77" s="1"/>
  <c r="B32" i="77"/>
  <c r="Z31" i="77"/>
  <c r="P31" i="77"/>
  <c r="X31" i="77" s="1"/>
  <c r="N31" i="77"/>
  <c r="L31" i="77"/>
  <c r="D31" i="77"/>
  <c r="B31" i="77"/>
  <c r="Z30" i="77"/>
  <c r="X30" i="77"/>
  <c r="P30" i="77"/>
  <c r="N30" i="77"/>
  <c r="D30" i="77"/>
  <c r="L30" i="77" s="1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D28" i="77"/>
  <c r="L28" i="77" s="1"/>
  <c r="B28" i="77"/>
  <c r="Z27" i="77"/>
  <c r="P27" i="77"/>
  <c r="X27" i="77" s="1"/>
  <c r="N27" i="77"/>
  <c r="L27" i="77"/>
  <c r="D27" i="77"/>
  <c r="B27" i="77"/>
  <c r="Z26" i="77"/>
  <c r="X26" i="77"/>
  <c r="P26" i="77"/>
  <c r="N26" i="77"/>
  <c r="D26" i="77"/>
  <c r="L26" i="77" s="1"/>
  <c r="B26" i="77"/>
  <c r="Z25" i="77"/>
  <c r="P25" i="77"/>
  <c r="X25" i="77" s="1"/>
  <c r="N25" i="77"/>
  <c r="L25" i="77"/>
  <c r="D25" i="77"/>
  <c r="B25" i="77"/>
  <c r="Z24" i="77"/>
  <c r="X24" i="77"/>
  <c r="P24" i="77"/>
  <c r="N24" i="77"/>
  <c r="D24" i="77"/>
  <c r="L24" i="77" s="1"/>
  <c r="B24" i="77"/>
  <c r="Z23" i="77"/>
  <c r="P23" i="77"/>
  <c r="X23" i="77" s="1"/>
  <c r="N23" i="77"/>
  <c r="L23" i="77"/>
  <c r="D23" i="77"/>
  <c r="B23" i="77"/>
  <c r="Z22" i="77"/>
  <c r="X22" i="77"/>
  <c r="P22" i="77"/>
  <c r="N22" i="77"/>
  <c r="D22" i="77"/>
  <c r="L22" i="77" s="1"/>
  <c r="B22" i="77"/>
  <c r="Z21" i="77"/>
  <c r="P21" i="77"/>
  <c r="X21" i="77" s="1"/>
  <c r="N21" i="77"/>
  <c r="L21" i="77"/>
  <c r="D21" i="77"/>
  <c r="B21" i="77"/>
  <c r="Z20" i="77"/>
  <c r="X20" i="77"/>
  <c r="P20" i="77"/>
  <c r="N20" i="77"/>
  <c r="D20" i="77"/>
  <c r="L20" i="77" s="1"/>
  <c r="B20" i="77"/>
  <c r="Z19" i="77"/>
  <c r="P19" i="77"/>
  <c r="X19" i="77" s="1"/>
  <c r="N19" i="77"/>
  <c r="L19" i="77"/>
  <c r="D19" i="77"/>
  <c r="B19" i="77"/>
  <c r="Z18" i="77"/>
  <c r="X18" i="77"/>
  <c r="P18" i="77"/>
  <c r="N18" i="77"/>
  <c r="D18" i="77"/>
  <c r="B18" i="77"/>
  <c r="Z17" i="77"/>
  <c r="P17" i="77"/>
  <c r="X17" i="77" s="1"/>
  <c r="N17" i="77"/>
  <c r="L17" i="77"/>
  <c r="D17" i="77"/>
  <c r="B17" i="77"/>
  <c r="Z16" i="77"/>
  <c r="X16" i="77"/>
  <c r="P16" i="77"/>
  <c r="N16" i="77"/>
  <c r="D16" i="77"/>
  <c r="L16" i="77" s="1"/>
  <c r="B16" i="77"/>
  <c r="Z15" i="77"/>
  <c r="P15" i="77"/>
  <c r="X15" i="77" s="1"/>
  <c r="N15" i="77"/>
  <c r="L15" i="77"/>
  <c r="D15" i="77"/>
  <c r="B15" i="77"/>
  <c r="Z14" i="77"/>
  <c r="X14" i="77"/>
  <c r="P14" i="77"/>
  <c r="N14" i="77"/>
  <c r="D14" i="77"/>
  <c r="L14" i="77" s="1"/>
  <c r="B14" i="77"/>
  <c r="P13" i="77"/>
  <c r="L13" i="77"/>
  <c r="N13" i="77" s="1"/>
  <c r="D13" i="77"/>
  <c r="B13" i="77"/>
  <c r="T12" i="77"/>
  <c r="V110" i="77" s="1"/>
  <c r="H12" i="77"/>
  <c r="J115" i="77" s="1"/>
  <c r="D6" i="77"/>
  <c r="D4" i="77"/>
  <c r="X92" i="76"/>
  <c r="Z92" i="76" s="1"/>
  <c r="L92" i="76"/>
  <c r="N92" i="76" s="1"/>
  <c r="T88" i="76"/>
  <c r="Z88" i="76" s="1"/>
  <c r="P88" i="76"/>
  <c r="X88" i="76" s="1"/>
  <c r="H88" i="76"/>
  <c r="N88" i="76" s="1"/>
  <c r="D88" i="76"/>
  <c r="L88" i="76" s="1"/>
  <c r="X86" i="76"/>
  <c r="Z86" i="76" s="1"/>
  <c r="L86" i="76"/>
  <c r="N86" i="76" s="1"/>
  <c r="B86" i="76"/>
  <c r="T85" i="76"/>
  <c r="P85" i="76"/>
  <c r="X85" i="76" s="1"/>
  <c r="Z85" i="76" s="1"/>
  <c r="N85" i="76"/>
  <c r="L85" i="76"/>
  <c r="H85" i="76"/>
  <c r="D85" i="76"/>
  <c r="B85" i="76"/>
  <c r="X84" i="76"/>
  <c r="Z84" i="76" s="1"/>
  <c r="N84" i="76"/>
  <c r="L84" i="76"/>
  <c r="B84" i="76"/>
  <c r="T83" i="76"/>
  <c r="P83" i="76"/>
  <c r="X83" i="76" s="1"/>
  <c r="Z83" i="76" s="1"/>
  <c r="N83" i="76"/>
  <c r="H83" i="76"/>
  <c r="D83" i="76"/>
  <c r="L83" i="76" s="1"/>
  <c r="B83" i="76"/>
  <c r="X82" i="76"/>
  <c r="Z82" i="76" s="1"/>
  <c r="L82" i="76"/>
  <c r="N82" i="76" s="1"/>
  <c r="B82" i="76"/>
  <c r="Z81" i="76"/>
  <c r="X81" i="76"/>
  <c r="N81" i="76"/>
  <c r="L81" i="76"/>
  <c r="B81" i="76"/>
  <c r="T80" i="76"/>
  <c r="P80" i="76"/>
  <c r="H80" i="76"/>
  <c r="N80" i="76" s="1"/>
  <c r="D80" i="76"/>
  <c r="L80" i="76" s="1"/>
  <c r="B80" i="76"/>
  <c r="Z79" i="76"/>
  <c r="X79" i="76"/>
  <c r="N79" i="76"/>
  <c r="L79" i="76"/>
  <c r="B79" i="76"/>
  <c r="X78" i="76"/>
  <c r="Z78" i="76" s="1"/>
  <c r="L78" i="76"/>
  <c r="N78" i="76" s="1"/>
  <c r="B78" i="76"/>
  <c r="Z77" i="76"/>
  <c r="X77" i="76"/>
  <c r="N77" i="76"/>
  <c r="L77" i="76"/>
  <c r="B77" i="76"/>
  <c r="X76" i="76"/>
  <c r="Z76" i="76" s="1"/>
  <c r="L76" i="76"/>
  <c r="N76" i="76" s="1"/>
  <c r="B76" i="76"/>
  <c r="Z75" i="76"/>
  <c r="X75" i="76"/>
  <c r="N75" i="76"/>
  <c r="L75" i="76"/>
  <c r="B75" i="76"/>
  <c r="X74" i="76"/>
  <c r="T74" i="76"/>
  <c r="P74" i="76"/>
  <c r="H74" i="76"/>
  <c r="N74" i="76" s="1"/>
  <c r="D74" i="76"/>
  <c r="L74" i="76" s="1"/>
  <c r="B74" i="76"/>
  <c r="Z73" i="76"/>
  <c r="X73" i="76"/>
  <c r="N73" i="76"/>
  <c r="L73" i="76"/>
  <c r="B73" i="76"/>
  <c r="T72" i="76"/>
  <c r="P72" i="76"/>
  <c r="L72" i="76"/>
  <c r="N72" i="76" s="1"/>
  <c r="H72" i="76"/>
  <c r="D72" i="76"/>
  <c r="B72" i="76"/>
  <c r="Z71" i="76"/>
  <c r="X71" i="76"/>
  <c r="N71" i="76"/>
  <c r="L71" i="76"/>
  <c r="B71" i="76"/>
  <c r="X70" i="76"/>
  <c r="Z70" i="76" s="1"/>
  <c r="L70" i="76"/>
  <c r="N70" i="76" s="1"/>
  <c r="B70" i="76"/>
  <c r="Z69" i="76"/>
  <c r="X69" i="76"/>
  <c r="N69" i="76"/>
  <c r="L69" i="76"/>
  <c r="J69" i="76"/>
  <c r="B69" i="76"/>
  <c r="T68" i="76"/>
  <c r="P68" i="76"/>
  <c r="H68" i="76"/>
  <c r="D68" i="76"/>
  <c r="L68" i="76" s="1"/>
  <c r="B68" i="76"/>
  <c r="Z67" i="76"/>
  <c r="X67" i="76"/>
  <c r="N67" i="76"/>
  <c r="L67" i="76"/>
  <c r="B67" i="76"/>
  <c r="X66" i="76"/>
  <c r="Z66" i="76" s="1"/>
  <c r="N66" i="76"/>
  <c r="L66" i="76"/>
  <c r="B66" i="76"/>
  <c r="Z65" i="76"/>
  <c r="X65" i="76"/>
  <c r="N65" i="76"/>
  <c r="L65" i="76"/>
  <c r="B65" i="76"/>
  <c r="X64" i="76"/>
  <c r="Z64" i="76" s="1"/>
  <c r="N64" i="76"/>
  <c r="L64" i="76"/>
  <c r="B64" i="76"/>
  <c r="Z63" i="76"/>
  <c r="X63" i="76"/>
  <c r="T63" i="76"/>
  <c r="P63" i="76"/>
  <c r="N63" i="76"/>
  <c r="J63" i="76"/>
  <c r="H63" i="76"/>
  <c r="L63" i="76" s="1"/>
  <c r="F63" i="76"/>
  <c r="D63" i="76"/>
  <c r="B63" i="76"/>
  <c r="X62" i="76"/>
  <c r="Z62" i="76" s="1"/>
  <c r="L62" i="76"/>
  <c r="N62" i="76" s="1"/>
  <c r="B62" i="76"/>
  <c r="T61" i="76"/>
  <c r="X61" i="76" s="1"/>
  <c r="Z61" i="76" s="1"/>
  <c r="P61" i="76"/>
  <c r="H61" i="76"/>
  <c r="F61" i="76"/>
  <c r="D61" i="76"/>
  <c r="L61" i="76" s="1"/>
  <c r="N61" i="76" s="1"/>
  <c r="B61" i="76"/>
  <c r="X60" i="76"/>
  <c r="Z60" i="76" s="1"/>
  <c r="L60" i="76"/>
  <c r="N60" i="76" s="1"/>
  <c r="B60" i="76"/>
  <c r="V59" i="76"/>
  <c r="T59" i="76"/>
  <c r="P59" i="76"/>
  <c r="X59" i="76" s="1"/>
  <c r="Z59" i="76" s="1"/>
  <c r="H59" i="76"/>
  <c r="D59" i="76"/>
  <c r="L59" i="76" s="1"/>
  <c r="N59" i="76" s="1"/>
  <c r="B59" i="76"/>
  <c r="X58" i="76"/>
  <c r="Z58" i="76" s="1"/>
  <c r="N58" i="76"/>
  <c r="L58" i="76"/>
  <c r="B58" i="76"/>
  <c r="T57" i="76"/>
  <c r="X57" i="76" s="1"/>
  <c r="Z57" i="76" s="1"/>
  <c r="P57" i="76"/>
  <c r="N57" i="76"/>
  <c r="L57" i="76"/>
  <c r="H57" i="76"/>
  <c r="D57" i="76"/>
  <c r="B57" i="76"/>
  <c r="X56" i="76"/>
  <c r="Z56" i="76" s="1"/>
  <c r="L56" i="76"/>
  <c r="N56" i="76" s="1"/>
  <c r="B56" i="76"/>
  <c r="Z55" i="76"/>
  <c r="X55" i="76"/>
  <c r="T55" i="76"/>
  <c r="P55" i="76"/>
  <c r="N55" i="76"/>
  <c r="H55" i="76"/>
  <c r="D55" i="76"/>
  <c r="L55" i="76" s="1"/>
  <c r="B55" i="76"/>
  <c r="X54" i="76"/>
  <c r="Z54" i="76" s="1"/>
  <c r="L54" i="76"/>
  <c r="N54" i="76" s="1"/>
  <c r="B54" i="76"/>
  <c r="Z53" i="76"/>
  <c r="T53" i="76"/>
  <c r="P53" i="76"/>
  <c r="X53" i="76" s="1"/>
  <c r="N53" i="76"/>
  <c r="H53" i="76"/>
  <c r="D53" i="76"/>
  <c r="L53" i="76" s="1"/>
  <c r="B53" i="76"/>
  <c r="X52" i="76"/>
  <c r="Z52" i="76" s="1"/>
  <c r="L52" i="76"/>
  <c r="N52" i="76" s="1"/>
  <c r="B52" i="76"/>
  <c r="Z51" i="76"/>
  <c r="X51" i="76"/>
  <c r="N51" i="76"/>
  <c r="L51" i="76"/>
  <c r="B51" i="76"/>
  <c r="T50" i="76"/>
  <c r="P50" i="76"/>
  <c r="X50" i="76" s="1"/>
  <c r="H50" i="76"/>
  <c r="N50" i="76" s="1"/>
  <c r="D50" i="76"/>
  <c r="L50" i="76" s="1"/>
  <c r="B50" i="76"/>
  <c r="Z49" i="76"/>
  <c r="X49" i="76"/>
  <c r="N49" i="76"/>
  <c r="L49" i="76"/>
  <c r="B49" i="76"/>
  <c r="T48" i="76"/>
  <c r="P48" i="76"/>
  <c r="X48" i="76" s="1"/>
  <c r="L48" i="76"/>
  <c r="N48" i="76" s="1"/>
  <c r="H48" i="76"/>
  <c r="D48" i="76"/>
  <c r="B48" i="76"/>
  <c r="Z47" i="76"/>
  <c r="X47" i="76"/>
  <c r="N47" i="76"/>
  <c r="L47" i="76"/>
  <c r="B47" i="76"/>
  <c r="T46" i="76"/>
  <c r="P46" i="76"/>
  <c r="X46" i="76" s="1"/>
  <c r="H46" i="76"/>
  <c r="D46" i="76"/>
  <c r="B46" i="76"/>
  <c r="Z45" i="76"/>
  <c r="X45" i="76"/>
  <c r="N45" i="76"/>
  <c r="L45" i="76"/>
  <c r="B45" i="76"/>
  <c r="T44" i="76"/>
  <c r="Z44" i="76" s="1"/>
  <c r="P44" i="76"/>
  <c r="X44" i="76" s="1"/>
  <c r="L44" i="76"/>
  <c r="H44" i="76"/>
  <c r="D44" i="76"/>
  <c r="B44" i="76"/>
  <c r="Z43" i="76"/>
  <c r="X43" i="76"/>
  <c r="N43" i="76"/>
  <c r="L43" i="76"/>
  <c r="B43" i="76"/>
  <c r="Z42" i="76"/>
  <c r="X42" i="76"/>
  <c r="N42" i="76"/>
  <c r="L42" i="76"/>
  <c r="B42" i="76"/>
  <c r="Z41" i="76"/>
  <c r="X41" i="76"/>
  <c r="V41" i="76"/>
  <c r="N41" i="76"/>
  <c r="L41" i="76"/>
  <c r="B41" i="76"/>
  <c r="X40" i="76"/>
  <c r="Z40" i="76" s="1"/>
  <c r="N40" i="76"/>
  <c r="L40" i="76"/>
  <c r="B40" i="76"/>
  <c r="Z39" i="76"/>
  <c r="X39" i="76"/>
  <c r="N39" i="76"/>
  <c r="L39" i="76"/>
  <c r="J39" i="76"/>
  <c r="B39" i="76"/>
  <c r="X38" i="76"/>
  <c r="Z38" i="76" s="1"/>
  <c r="L38" i="76"/>
  <c r="N38" i="76" s="1"/>
  <c r="F38" i="76"/>
  <c r="B38" i="76"/>
  <c r="Z37" i="76"/>
  <c r="X37" i="76"/>
  <c r="N37" i="76"/>
  <c r="L37" i="76"/>
  <c r="B37" i="76"/>
  <c r="Z36" i="76"/>
  <c r="X36" i="76"/>
  <c r="N36" i="76"/>
  <c r="L36" i="76"/>
  <c r="B36" i="76"/>
  <c r="Z35" i="76"/>
  <c r="X35" i="76"/>
  <c r="N35" i="76"/>
  <c r="L35" i="76"/>
  <c r="J35" i="76"/>
  <c r="B35" i="76"/>
  <c r="Z34" i="76"/>
  <c r="X34" i="76"/>
  <c r="N34" i="76"/>
  <c r="L34" i="76"/>
  <c r="B34" i="76"/>
  <c r="T33" i="76"/>
  <c r="Z33" i="76" s="1"/>
  <c r="P33" i="76"/>
  <c r="X33" i="76" s="1"/>
  <c r="N33" i="76"/>
  <c r="J33" i="76"/>
  <c r="H33" i="76"/>
  <c r="F33" i="76"/>
  <c r="D33" i="76"/>
  <c r="L33" i="76" s="1"/>
  <c r="B33" i="76"/>
  <c r="X32" i="76"/>
  <c r="Z32" i="76" s="1"/>
  <c r="L32" i="76"/>
  <c r="N32" i="76" s="1"/>
  <c r="B32" i="76"/>
  <c r="X31" i="76"/>
  <c r="Z31" i="76" s="1"/>
  <c r="N31" i="76"/>
  <c r="L31" i="76"/>
  <c r="B31" i="76"/>
  <c r="Z30" i="76"/>
  <c r="X30" i="76"/>
  <c r="N30" i="76"/>
  <c r="L30" i="76"/>
  <c r="B30" i="76"/>
  <c r="Z29" i="76"/>
  <c r="X29" i="76"/>
  <c r="N29" i="76"/>
  <c r="L29" i="76"/>
  <c r="B29" i="76"/>
  <c r="X28" i="76"/>
  <c r="Z28" i="76" s="1"/>
  <c r="V28" i="76"/>
  <c r="L28" i="76"/>
  <c r="N28" i="76" s="1"/>
  <c r="B28" i="76"/>
  <c r="X27" i="76"/>
  <c r="Z27" i="76" s="1"/>
  <c r="V27" i="76"/>
  <c r="L27" i="76"/>
  <c r="N27" i="76" s="1"/>
  <c r="B27" i="76"/>
  <c r="X26" i="76"/>
  <c r="Z26" i="76" s="1"/>
  <c r="N26" i="76"/>
  <c r="L26" i="76"/>
  <c r="F26" i="76"/>
  <c r="B26" i="76"/>
  <c r="Z25" i="76"/>
  <c r="X25" i="76"/>
  <c r="N25" i="76"/>
  <c r="L25" i="76"/>
  <c r="J25" i="76"/>
  <c r="B25" i="76"/>
  <c r="V24" i="76"/>
  <c r="T24" i="76"/>
  <c r="P24" i="76"/>
  <c r="X24" i="76" s="1"/>
  <c r="H24" i="76"/>
  <c r="N24" i="76" s="1"/>
  <c r="D24" i="76"/>
  <c r="L24" i="76" s="1"/>
  <c r="B24" i="76"/>
  <c r="V23" i="76"/>
  <c r="T23" i="76"/>
  <c r="P23" i="76"/>
  <c r="X23" i="76" s="1"/>
  <c r="Z23" i="76" s="1"/>
  <c r="H23" i="76"/>
  <c r="D23" i="76"/>
  <c r="Z19" i="76"/>
  <c r="X19" i="76"/>
  <c r="V19" i="76"/>
  <c r="N19" i="76"/>
  <c r="L19" i="76"/>
  <c r="B19" i="76"/>
  <c r="Z18" i="76"/>
  <c r="X18" i="76"/>
  <c r="V18" i="76"/>
  <c r="N18" i="76"/>
  <c r="L18" i="76"/>
  <c r="B18" i="76"/>
  <c r="X17" i="76"/>
  <c r="Z17" i="76" s="1"/>
  <c r="V17" i="76"/>
  <c r="N17" i="76"/>
  <c r="L17" i="76"/>
  <c r="J17" i="76"/>
  <c r="B17" i="76"/>
  <c r="V16" i="76"/>
  <c r="T16" i="76"/>
  <c r="P16" i="76"/>
  <c r="X16" i="76" s="1"/>
  <c r="Z16" i="76" s="1"/>
  <c r="H16" i="76"/>
  <c r="H21" i="76" s="1"/>
  <c r="D16" i="76"/>
  <c r="L16" i="76" s="1"/>
  <c r="P14" i="76"/>
  <c r="X14" i="76" s="1"/>
  <c r="Z14" i="76" s="1"/>
  <c r="D14" i="76"/>
  <c r="L14" i="76" s="1"/>
  <c r="N14" i="76" s="1"/>
  <c r="B14" i="76"/>
  <c r="P13" i="76"/>
  <c r="P12" i="76" s="1"/>
  <c r="L13" i="76"/>
  <c r="N13" i="76" s="1"/>
  <c r="D13" i="76"/>
  <c r="B13" i="76"/>
  <c r="T12" i="76"/>
  <c r="V63" i="76" s="1"/>
  <c r="H12" i="76"/>
  <c r="J57" i="76" s="1"/>
  <c r="D12" i="76"/>
  <c r="F83" i="76" s="1"/>
  <c r="D6" i="76"/>
  <c r="D4" i="76"/>
  <c r="X51" i="75"/>
  <c r="Z51" i="75" s="1"/>
  <c r="L51" i="75"/>
  <c r="N51" i="75" s="1"/>
  <c r="T49" i="75"/>
  <c r="T47" i="75"/>
  <c r="P47" i="75"/>
  <c r="N47" i="75"/>
  <c r="H47" i="75"/>
  <c r="D47" i="75"/>
  <c r="L47" i="75" s="1"/>
  <c r="Z45" i="75"/>
  <c r="X45" i="75"/>
  <c r="N45" i="75"/>
  <c r="L45" i="75"/>
  <c r="B45" i="75"/>
  <c r="Z44" i="75"/>
  <c r="X44" i="75"/>
  <c r="N44" i="75"/>
  <c r="L44" i="75"/>
  <c r="J44" i="75"/>
  <c r="B44" i="75"/>
  <c r="Z43" i="75"/>
  <c r="X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B41" i="75"/>
  <c r="Z40" i="75"/>
  <c r="X40" i="75"/>
  <c r="N40" i="75"/>
  <c r="L40" i="75"/>
  <c r="J40" i="75"/>
  <c r="B40" i="75"/>
  <c r="Z39" i="75"/>
  <c r="X39" i="75"/>
  <c r="N39" i="75"/>
  <c r="L39" i="75"/>
  <c r="B39" i="75"/>
  <c r="Z38" i="75"/>
  <c r="X38" i="75"/>
  <c r="N38" i="75"/>
  <c r="L38" i="75"/>
  <c r="B38" i="75"/>
  <c r="Z37" i="75"/>
  <c r="X37" i="75"/>
  <c r="N37" i="75"/>
  <c r="L37" i="75"/>
  <c r="B37" i="75"/>
  <c r="Z36" i="75"/>
  <c r="X36" i="75"/>
  <c r="V36" i="75"/>
  <c r="N36" i="75"/>
  <c r="L36" i="75"/>
  <c r="J36" i="75"/>
  <c r="B36" i="75"/>
  <c r="Z35" i="75"/>
  <c r="T35" i="75"/>
  <c r="P35" i="75"/>
  <c r="X35" i="75" s="1"/>
  <c r="H35" i="75"/>
  <c r="D35" i="75"/>
  <c r="B35" i="75"/>
  <c r="Z34" i="75"/>
  <c r="X34" i="75"/>
  <c r="N34" i="75"/>
  <c r="L34" i="75"/>
  <c r="J34" i="75"/>
  <c r="B34" i="75"/>
  <c r="Z33" i="75"/>
  <c r="X33" i="75"/>
  <c r="V33" i="75"/>
  <c r="N33" i="75"/>
  <c r="L33" i="75"/>
  <c r="B33" i="75"/>
  <c r="Z32" i="75"/>
  <c r="X32" i="75"/>
  <c r="V32" i="75"/>
  <c r="N32" i="75"/>
  <c r="L32" i="75"/>
  <c r="B32" i="75"/>
  <c r="Z31" i="75"/>
  <c r="X31" i="75"/>
  <c r="N31" i="75"/>
  <c r="L31" i="75"/>
  <c r="B31" i="75"/>
  <c r="Z30" i="75"/>
  <c r="X30" i="75"/>
  <c r="N30" i="75"/>
  <c r="L30" i="75"/>
  <c r="J30" i="75"/>
  <c r="B30" i="75"/>
  <c r="Z29" i="75"/>
  <c r="X29" i="75"/>
  <c r="V29" i="75"/>
  <c r="N29" i="75"/>
  <c r="L29" i="75"/>
  <c r="B29" i="75"/>
  <c r="Z28" i="75"/>
  <c r="X28" i="75"/>
  <c r="V28" i="75"/>
  <c r="N28" i="75"/>
  <c r="L28" i="75"/>
  <c r="B28" i="75"/>
  <c r="Z27" i="75"/>
  <c r="X27" i="75"/>
  <c r="N27" i="75"/>
  <c r="L27" i="75"/>
  <c r="B27" i="75"/>
  <c r="T26" i="75"/>
  <c r="Z26" i="75" s="1"/>
  <c r="P26" i="75"/>
  <c r="X26" i="75" s="1"/>
  <c r="N26" i="75"/>
  <c r="J26" i="75"/>
  <c r="H26" i="75"/>
  <c r="D26" i="75"/>
  <c r="L26" i="75" s="1"/>
  <c r="B26" i="75"/>
  <c r="T25" i="75"/>
  <c r="Z25" i="75" s="1"/>
  <c r="P25" i="75"/>
  <c r="X25" i="75" s="1"/>
  <c r="L25" i="75"/>
  <c r="H25" i="75"/>
  <c r="N25" i="75" s="1"/>
  <c r="D25" i="75"/>
  <c r="T23" i="75"/>
  <c r="Z21" i="75"/>
  <c r="X21" i="75"/>
  <c r="V21" i="75"/>
  <c r="N21" i="75"/>
  <c r="L21" i="75"/>
  <c r="B21" i="75"/>
  <c r="Z20" i="75"/>
  <c r="X20" i="75"/>
  <c r="N20" i="75"/>
  <c r="L20" i="75"/>
  <c r="J20" i="75"/>
  <c r="B20" i="75"/>
  <c r="X19" i="75"/>
  <c r="Z19" i="75" s="1"/>
  <c r="N19" i="75"/>
  <c r="L19" i="75"/>
  <c r="B19" i="75"/>
  <c r="Z18" i="75"/>
  <c r="X18" i="75"/>
  <c r="V18" i="75"/>
  <c r="T18" i="75"/>
  <c r="P18" i="75"/>
  <c r="L18" i="75"/>
  <c r="N18" i="75" s="1"/>
  <c r="H18" i="75"/>
  <c r="D18" i="75"/>
  <c r="Z16" i="75"/>
  <c r="P16" i="75"/>
  <c r="X16" i="75" s="1"/>
  <c r="N16" i="75"/>
  <c r="L16" i="75"/>
  <c r="D16" i="75"/>
  <c r="B16" i="75"/>
  <c r="Z15" i="75"/>
  <c r="P15" i="75"/>
  <c r="X15" i="75" s="1"/>
  <c r="N15" i="75"/>
  <c r="D15" i="75"/>
  <c r="L15" i="75" s="1"/>
  <c r="B15" i="75"/>
  <c r="Z14" i="75"/>
  <c r="P14" i="75"/>
  <c r="N14" i="75"/>
  <c r="D14" i="75"/>
  <c r="L14" i="75" s="1"/>
  <c r="B14" i="75"/>
  <c r="P13" i="75"/>
  <c r="X13" i="75" s="1"/>
  <c r="Z13" i="75" s="1"/>
  <c r="D13" i="75"/>
  <c r="B13" i="75"/>
  <c r="T12" i="75"/>
  <c r="V42" i="75" s="1"/>
  <c r="H12" i="75"/>
  <c r="H23" i="75" s="1"/>
  <c r="D6" i="75"/>
  <c r="D4" i="75"/>
  <c r="V77" i="74"/>
  <c r="Z72" i="74"/>
  <c r="X72" i="74"/>
  <c r="V72" i="74"/>
  <c r="N72" i="74"/>
  <c r="L72" i="74"/>
  <c r="Z68" i="74"/>
  <c r="X68" i="74"/>
  <c r="T68" i="74"/>
  <c r="P68" i="74"/>
  <c r="N68" i="74"/>
  <c r="H68" i="74"/>
  <c r="D68" i="74"/>
  <c r="L68" i="74" s="1"/>
  <c r="Z66" i="74"/>
  <c r="X66" i="74"/>
  <c r="N66" i="74"/>
  <c r="L66" i="74"/>
  <c r="B66" i="74"/>
  <c r="Z65" i="74"/>
  <c r="T65" i="74"/>
  <c r="P65" i="74"/>
  <c r="X65" i="74" s="1"/>
  <c r="L65" i="74"/>
  <c r="H65" i="74"/>
  <c r="N65" i="74" s="1"/>
  <c r="D65" i="74"/>
  <c r="B65" i="74"/>
  <c r="Z64" i="74"/>
  <c r="X64" i="74"/>
  <c r="N64" i="74"/>
  <c r="L64" i="74"/>
  <c r="B64" i="74"/>
  <c r="Z63" i="74"/>
  <c r="T63" i="74"/>
  <c r="P63" i="74"/>
  <c r="X63" i="74" s="1"/>
  <c r="H63" i="74"/>
  <c r="N63" i="74" s="1"/>
  <c r="D63" i="74"/>
  <c r="B63" i="74"/>
  <c r="Z62" i="74"/>
  <c r="X62" i="74"/>
  <c r="N62" i="74"/>
  <c r="L62" i="74"/>
  <c r="B62" i="74"/>
  <c r="Z61" i="74"/>
  <c r="X61" i="74"/>
  <c r="N61" i="74"/>
  <c r="L61" i="74"/>
  <c r="B61" i="74"/>
  <c r="Z60" i="74"/>
  <c r="X60" i="74"/>
  <c r="N60" i="74"/>
  <c r="L60" i="74"/>
  <c r="B60" i="74"/>
  <c r="Z59" i="74"/>
  <c r="X59" i="74"/>
  <c r="N59" i="74"/>
  <c r="L59" i="74"/>
  <c r="B59" i="74"/>
  <c r="Z58" i="74"/>
  <c r="X58" i="74"/>
  <c r="T58" i="74"/>
  <c r="P58" i="74"/>
  <c r="N58" i="74"/>
  <c r="L58" i="74"/>
  <c r="H58" i="74"/>
  <c r="D58" i="74"/>
  <c r="B58" i="74"/>
  <c r="Z57" i="74"/>
  <c r="X57" i="74"/>
  <c r="N57" i="74"/>
  <c r="L57" i="74"/>
  <c r="B57" i="74"/>
  <c r="Z56" i="74"/>
  <c r="X56" i="74"/>
  <c r="N56" i="74"/>
  <c r="L56" i="74"/>
  <c r="B56" i="74"/>
  <c r="X55" i="74"/>
  <c r="T55" i="74"/>
  <c r="Z55" i="74" s="1"/>
  <c r="P55" i="74"/>
  <c r="N55" i="74"/>
  <c r="H55" i="74"/>
  <c r="D55" i="74"/>
  <c r="L55" i="74" s="1"/>
  <c r="B55" i="74"/>
  <c r="Z54" i="74"/>
  <c r="X54" i="74"/>
  <c r="V54" i="74"/>
  <c r="N54" i="74"/>
  <c r="L54" i="74"/>
  <c r="B54" i="74"/>
  <c r="Z53" i="74"/>
  <c r="X53" i="74"/>
  <c r="N53" i="74"/>
  <c r="L53" i="74"/>
  <c r="B53" i="74"/>
  <c r="T52" i="74"/>
  <c r="Z52" i="74" s="1"/>
  <c r="P52" i="74"/>
  <c r="X52" i="74" s="1"/>
  <c r="N52" i="74"/>
  <c r="H52" i="74"/>
  <c r="D52" i="74"/>
  <c r="L52" i="74" s="1"/>
  <c r="B52" i="74"/>
  <c r="Z51" i="74"/>
  <c r="X51" i="74"/>
  <c r="N51" i="74"/>
  <c r="L51" i="74"/>
  <c r="B51" i="74"/>
  <c r="Z50" i="74"/>
  <c r="X50" i="74"/>
  <c r="T50" i="74"/>
  <c r="P50" i="74"/>
  <c r="N50" i="74"/>
  <c r="L50" i="74"/>
  <c r="H50" i="74"/>
  <c r="D50" i="74"/>
  <c r="B50" i="74"/>
  <c r="Z49" i="74"/>
  <c r="X49" i="74"/>
  <c r="N49" i="74"/>
  <c r="L49" i="74"/>
  <c r="B49" i="74"/>
  <c r="Z48" i="74"/>
  <c r="T48" i="74"/>
  <c r="X48" i="74" s="1"/>
  <c r="P48" i="74"/>
  <c r="N48" i="74"/>
  <c r="L48" i="74"/>
  <c r="H48" i="74"/>
  <c r="D48" i="74"/>
  <c r="B48" i="74"/>
  <c r="X47" i="74"/>
  <c r="Z47" i="74" s="1"/>
  <c r="L47" i="74"/>
  <c r="N47" i="74" s="1"/>
  <c r="B47" i="74"/>
  <c r="Z46" i="74"/>
  <c r="V46" i="74"/>
  <c r="T46" i="74"/>
  <c r="P46" i="74"/>
  <c r="X46" i="74" s="1"/>
  <c r="H46" i="74"/>
  <c r="D46" i="74"/>
  <c r="L46" i="74" s="1"/>
  <c r="B46" i="74"/>
  <c r="Z45" i="74"/>
  <c r="X45" i="74"/>
  <c r="N45" i="74"/>
  <c r="L45" i="74"/>
  <c r="B45" i="74"/>
  <c r="Z44" i="74"/>
  <c r="X44" i="74"/>
  <c r="V44" i="74"/>
  <c r="T44" i="74"/>
  <c r="P44" i="74"/>
  <c r="N44" i="74"/>
  <c r="L44" i="74"/>
  <c r="H44" i="74"/>
  <c r="D44" i="74"/>
  <c r="B44" i="74"/>
  <c r="Z43" i="74"/>
  <c r="X43" i="74"/>
  <c r="N43" i="74"/>
  <c r="L43" i="74"/>
  <c r="B43" i="74"/>
  <c r="Z42" i="74"/>
  <c r="X42" i="74"/>
  <c r="V42" i="74"/>
  <c r="T42" i="74"/>
  <c r="P42" i="74"/>
  <c r="N42" i="74"/>
  <c r="H42" i="74"/>
  <c r="L42" i="74" s="1"/>
  <c r="D42" i="74"/>
  <c r="B42" i="74"/>
  <c r="Z41" i="74"/>
  <c r="X41" i="74"/>
  <c r="N41" i="74"/>
  <c r="L41" i="74"/>
  <c r="B41" i="74"/>
  <c r="Z40" i="74"/>
  <c r="X40" i="74"/>
  <c r="N40" i="74"/>
  <c r="L40" i="74"/>
  <c r="B40" i="74"/>
  <c r="Z39" i="74"/>
  <c r="X39" i="74"/>
  <c r="N39" i="74"/>
  <c r="L39" i="74"/>
  <c r="B39" i="74"/>
  <c r="Z38" i="74"/>
  <c r="X38" i="74"/>
  <c r="V38" i="74"/>
  <c r="N38" i="74"/>
  <c r="L38" i="74"/>
  <c r="B38" i="74"/>
  <c r="Z37" i="74"/>
  <c r="X37" i="74"/>
  <c r="N37" i="74"/>
  <c r="L37" i="74"/>
  <c r="B37" i="74"/>
  <c r="Z36" i="74"/>
  <c r="X36" i="74"/>
  <c r="N36" i="74"/>
  <c r="L36" i="74"/>
  <c r="B36" i="74"/>
  <c r="Z35" i="74"/>
  <c r="X35" i="74"/>
  <c r="V35" i="74"/>
  <c r="N35" i="74"/>
  <c r="L35" i="74"/>
  <c r="B35" i="74"/>
  <c r="Z34" i="74"/>
  <c r="X34" i="74"/>
  <c r="V34" i="74"/>
  <c r="N34" i="74"/>
  <c r="L34" i="74"/>
  <c r="B34" i="74"/>
  <c r="Z33" i="74"/>
  <c r="X33" i="74"/>
  <c r="N33" i="74"/>
  <c r="L33" i="74"/>
  <c r="B33" i="74"/>
  <c r="Z32" i="74"/>
  <c r="X32" i="74"/>
  <c r="V32" i="74"/>
  <c r="N32" i="74"/>
  <c r="L32" i="74"/>
  <c r="J32" i="74"/>
  <c r="B32" i="74"/>
  <c r="Z31" i="74"/>
  <c r="V31" i="74"/>
  <c r="T31" i="74"/>
  <c r="P31" i="74"/>
  <c r="X31" i="74" s="1"/>
  <c r="L31" i="74"/>
  <c r="H31" i="74"/>
  <c r="N31" i="74" s="1"/>
  <c r="D31" i="74"/>
  <c r="B31" i="74"/>
  <c r="Z30" i="74"/>
  <c r="X30" i="74"/>
  <c r="N30" i="74"/>
  <c r="L30" i="74"/>
  <c r="B30" i="74"/>
  <c r="Z29" i="74"/>
  <c r="X29" i="74"/>
  <c r="N29" i="74"/>
  <c r="L29" i="74"/>
  <c r="B29" i="74"/>
  <c r="Z28" i="74"/>
  <c r="X28" i="74"/>
  <c r="V28" i="74"/>
  <c r="N28" i="74"/>
  <c r="L28" i="74"/>
  <c r="B28" i="74"/>
  <c r="Z27" i="74"/>
  <c r="X27" i="74"/>
  <c r="V27" i="74"/>
  <c r="N27" i="74"/>
  <c r="L27" i="74"/>
  <c r="B27" i="74"/>
  <c r="Z26" i="74"/>
  <c r="X26" i="74"/>
  <c r="N26" i="74"/>
  <c r="L26" i="74"/>
  <c r="B26" i="74"/>
  <c r="Z25" i="74"/>
  <c r="X25" i="74"/>
  <c r="N25" i="74"/>
  <c r="L25" i="74"/>
  <c r="B25" i="74"/>
  <c r="Z24" i="74"/>
  <c r="X24" i="74"/>
  <c r="V24" i="74"/>
  <c r="N24" i="74"/>
  <c r="L24" i="74"/>
  <c r="B24" i="74"/>
  <c r="Z23" i="74"/>
  <c r="X23" i="74"/>
  <c r="N23" i="74"/>
  <c r="L23" i="74"/>
  <c r="B23" i="74"/>
  <c r="Z22" i="74"/>
  <c r="T22" i="74"/>
  <c r="P22" i="74"/>
  <c r="X22" i="74" s="1"/>
  <c r="N22" i="74"/>
  <c r="L22" i="74"/>
  <c r="H22" i="74"/>
  <c r="D22" i="74"/>
  <c r="B22" i="74"/>
  <c r="T21" i="74"/>
  <c r="P21" i="74"/>
  <c r="X21" i="74" s="1"/>
  <c r="Z21" i="74" s="1"/>
  <c r="H21" i="74"/>
  <c r="D21" i="74"/>
  <c r="T19" i="74"/>
  <c r="H19" i="74"/>
  <c r="Z17" i="74"/>
  <c r="X17" i="74"/>
  <c r="N17" i="74"/>
  <c r="L17" i="74"/>
  <c r="B17" i="74"/>
  <c r="Z16" i="74"/>
  <c r="X16" i="74"/>
  <c r="V16" i="74"/>
  <c r="N16" i="74"/>
  <c r="L16" i="74"/>
  <c r="J16" i="74"/>
  <c r="B16" i="74"/>
  <c r="T15" i="74"/>
  <c r="Z15" i="74" s="1"/>
  <c r="P15" i="74"/>
  <c r="X15" i="74" s="1"/>
  <c r="H15" i="74"/>
  <c r="N15" i="74" s="1"/>
  <c r="D15" i="74"/>
  <c r="L15" i="74" s="1"/>
  <c r="Z13" i="74"/>
  <c r="X13" i="74"/>
  <c r="P13" i="74"/>
  <c r="N13" i="74"/>
  <c r="D13" i="74"/>
  <c r="B13" i="74"/>
  <c r="T12" i="74"/>
  <c r="V39" i="74" s="1"/>
  <c r="P12" i="74"/>
  <c r="H12" i="74"/>
  <c r="J52" i="74" s="1"/>
  <c r="D6" i="74"/>
  <c r="D4" i="74"/>
  <c r="Z81" i="73"/>
  <c r="X81" i="73"/>
  <c r="L81" i="73"/>
  <c r="N81" i="73" s="1"/>
  <c r="Z77" i="73"/>
  <c r="T77" i="73"/>
  <c r="P77" i="73"/>
  <c r="X77" i="73" s="1"/>
  <c r="H77" i="73"/>
  <c r="N77" i="73" s="1"/>
  <c r="D77" i="73"/>
  <c r="Z75" i="73"/>
  <c r="X75" i="73"/>
  <c r="R75" i="73"/>
  <c r="L75" i="73"/>
  <c r="N75" i="73" s="1"/>
  <c r="B75" i="73"/>
  <c r="T74" i="73"/>
  <c r="P74" i="73"/>
  <c r="X74" i="73" s="1"/>
  <c r="N74" i="73"/>
  <c r="L74" i="73"/>
  <c r="H74" i="73"/>
  <c r="D74" i="73"/>
  <c r="B74" i="73"/>
  <c r="X73" i="73"/>
  <c r="Z73" i="73" s="1"/>
  <c r="N73" i="73"/>
  <c r="L73" i="73"/>
  <c r="B73" i="73"/>
  <c r="V72" i="73"/>
  <c r="T72" i="73"/>
  <c r="P72" i="73"/>
  <c r="X72" i="73" s="1"/>
  <c r="H72" i="73"/>
  <c r="N72" i="73" s="1"/>
  <c r="D72" i="73"/>
  <c r="B72" i="73"/>
  <c r="Z71" i="73"/>
  <c r="X71" i="73"/>
  <c r="V71" i="73"/>
  <c r="N71" i="73"/>
  <c r="L71" i="73"/>
  <c r="B71" i="73"/>
  <c r="Z70" i="73"/>
  <c r="X70" i="73"/>
  <c r="N70" i="73"/>
  <c r="L70" i="73"/>
  <c r="J70" i="73"/>
  <c r="B70" i="73"/>
  <c r="T69" i="73"/>
  <c r="P69" i="73"/>
  <c r="L69" i="73"/>
  <c r="N69" i="73" s="1"/>
  <c r="H69" i="73"/>
  <c r="D69" i="73"/>
  <c r="B69" i="73"/>
  <c r="X68" i="73"/>
  <c r="Z68" i="73" s="1"/>
  <c r="N68" i="73"/>
  <c r="L68" i="73"/>
  <c r="B68" i="73"/>
  <c r="Z67" i="73"/>
  <c r="X67" i="73"/>
  <c r="L67" i="73"/>
  <c r="N67" i="73" s="1"/>
  <c r="B67" i="73"/>
  <c r="X66" i="73"/>
  <c r="Z66" i="73" s="1"/>
  <c r="L66" i="73"/>
  <c r="N66" i="73" s="1"/>
  <c r="B66" i="73"/>
  <c r="T65" i="73"/>
  <c r="P65" i="73"/>
  <c r="H65" i="73"/>
  <c r="D65" i="73"/>
  <c r="B65" i="73"/>
  <c r="X64" i="73"/>
  <c r="Z64" i="73" s="1"/>
  <c r="L64" i="73"/>
  <c r="N64" i="73" s="1"/>
  <c r="B64" i="73"/>
  <c r="Z63" i="73"/>
  <c r="X63" i="73"/>
  <c r="N63" i="73"/>
  <c r="L63" i="73"/>
  <c r="B63" i="73"/>
  <c r="T62" i="73"/>
  <c r="P62" i="73"/>
  <c r="H62" i="73"/>
  <c r="D62" i="73"/>
  <c r="B62" i="73"/>
  <c r="X61" i="73"/>
  <c r="Z61" i="73" s="1"/>
  <c r="L61" i="73"/>
  <c r="N61" i="73" s="1"/>
  <c r="B61" i="73"/>
  <c r="Z60" i="73"/>
  <c r="X60" i="73"/>
  <c r="N60" i="73"/>
  <c r="L60" i="73"/>
  <c r="B60" i="73"/>
  <c r="T59" i="73"/>
  <c r="P59" i="73"/>
  <c r="J59" i="73"/>
  <c r="H59" i="73"/>
  <c r="D59" i="73"/>
  <c r="L59" i="73" s="1"/>
  <c r="N59" i="73" s="1"/>
  <c r="B59" i="73"/>
  <c r="Z58" i="73"/>
  <c r="X58" i="73"/>
  <c r="V58" i="73"/>
  <c r="L58" i="73"/>
  <c r="N58" i="73" s="1"/>
  <c r="J58" i="73"/>
  <c r="B58" i="73"/>
  <c r="Z57" i="73"/>
  <c r="X57" i="73"/>
  <c r="V57" i="73"/>
  <c r="N57" i="73"/>
  <c r="L57" i="73"/>
  <c r="B57" i="73"/>
  <c r="X56" i="73"/>
  <c r="Z56" i="73" s="1"/>
  <c r="T56" i="73"/>
  <c r="P56" i="73"/>
  <c r="H56" i="73"/>
  <c r="D56" i="73"/>
  <c r="L56" i="73" s="1"/>
  <c r="N56" i="73" s="1"/>
  <c r="B56" i="73"/>
  <c r="X55" i="73"/>
  <c r="Z55" i="73" s="1"/>
  <c r="N55" i="73"/>
  <c r="L55" i="73"/>
  <c r="B55" i="73"/>
  <c r="T54" i="73"/>
  <c r="P54" i="73"/>
  <c r="H54" i="73"/>
  <c r="N54" i="73" s="1"/>
  <c r="D54" i="73"/>
  <c r="B54" i="73"/>
  <c r="Z53" i="73"/>
  <c r="X53" i="73"/>
  <c r="V53" i="73"/>
  <c r="L53" i="73"/>
  <c r="N53" i="73" s="1"/>
  <c r="J53" i="73"/>
  <c r="B53" i="73"/>
  <c r="T52" i="73"/>
  <c r="P52" i="73"/>
  <c r="X52" i="73" s="1"/>
  <c r="Z52" i="73" s="1"/>
  <c r="H52" i="73"/>
  <c r="N52" i="73" s="1"/>
  <c r="D52" i="73"/>
  <c r="L52" i="73" s="1"/>
  <c r="B52" i="73"/>
  <c r="Z51" i="73"/>
  <c r="X51" i="73"/>
  <c r="L51" i="73"/>
  <c r="N51" i="73" s="1"/>
  <c r="B51" i="73"/>
  <c r="Z50" i="73"/>
  <c r="X50" i="73"/>
  <c r="V50" i="73"/>
  <c r="T50" i="73"/>
  <c r="P50" i="73"/>
  <c r="H50" i="73"/>
  <c r="D50" i="73"/>
  <c r="L50" i="73" s="1"/>
  <c r="N50" i="73" s="1"/>
  <c r="B50" i="73"/>
  <c r="Z49" i="73"/>
  <c r="X49" i="73"/>
  <c r="V49" i="73"/>
  <c r="N49" i="73"/>
  <c r="L49" i="73"/>
  <c r="J49" i="73"/>
  <c r="B49" i="73"/>
  <c r="T48" i="73"/>
  <c r="Z48" i="73" s="1"/>
  <c r="P48" i="73"/>
  <c r="L48" i="73"/>
  <c r="H48" i="73"/>
  <c r="N48" i="73" s="1"/>
  <c r="D48" i="73"/>
  <c r="B48" i="73"/>
  <c r="X47" i="73"/>
  <c r="Z47" i="73" s="1"/>
  <c r="N47" i="73"/>
  <c r="L47" i="73"/>
  <c r="J47" i="73"/>
  <c r="B47" i="73"/>
  <c r="T46" i="73"/>
  <c r="P46" i="73"/>
  <c r="H46" i="73"/>
  <c r="D46" i="73"/>
  <c r="L46" i="73" s="1"/>
  <c r="B46" i="73"/>
  <c r="Z45" i="73"/>
  <c r="X45" i="73"/>
  <c r="N45" i="73"/>
  <c r="L45" i="73"/>
  <c r="B45" i="73"/>
  <c r="Z44" i="73"/>
  <c r="X44" i="73"/>
  <c r="V44" i="73"/>
  <c r="N44" i="73"/>
  <c r="L44" i="73"/>
  <c r="J44" i="73"/>
  <c r="B44" i="73"/>
  <c r="Z43" i="73"/>
  <c r="X43" i="73"/>
  <c r="N43" i="73"/>
  <c r="L43" i="73"/>
  <c r="B43" i="73"/>
  <c r="Z42" i="73"/>
  <c r="X42" i="73"/>
  <c r="N42" i="73"/>
  <c r="L42" i="73"/>
  <c r="B42" i="73"/>
  <c r="Z41" i="73"/>
  <c r="X41" i="73"/>
  <c r="N41" i="73"/>
  <c r="L41" i="73"/>
  <c r="J41" i="73"/>
  <c r="B41" i="73"/>
  <c r="Z40" i="73"/>
  <c r="X40" i="73"/>
  <c r="V40" i="73"/>
  <c r="N40" i="73"/>
  <c r="L40" i="73"/>
  <c r="J40" i="73"/>
  <c r="B40" i="73"/>
  <c r="Z39" i="73"/>
  <c r="X39" i="73"/>
  <c r="V39" i="73"/>
  <c r="N39" i="73"/>
  <c r="L39" i="73"/>
  <c r="B39" i="73"/>
  <c r="Z38" i="73"/>
  <c r="X38" i="73"/>
  <c r="N38" i="73"/>
  <c r="L38" i="73"/>
  <c r="J38" i="73"/>
  <c r="B38" i="73"/>
  <c r="Z37" i="73"/>
  <c r="X37" i="73"/>
  <c r="V37" i="73"/>
  <c r="N37" i="73"/>
  <c r="L37" i="73"/>
  <c r="B37" i="73"/>
  <c r="Z36" i="73"/>
  <c r="X36" i="73"/>
  <c r="V36" i="73"/>
  <c r="N36" i="73"/>
  <c r="L36" i="73"/>
  <c r="J36" i="73"/>
  <c r="B36" i="73"/>
  <c r="V35" i="73"/>
  <c r="T35" i="73"/>
  <c r="P35" i="73"/>
  <c r="X35" i="73" s="1"/>
  <c r="Z35" i="73" s="1"/>
  <c r="H35" i="73"/>
  <c r="N35" i="73" s="1"/>
  <c r="D35" i="73"/>
  <c r="L35" i="73" s="1"/>
  <c r="B35" i="73"/>
  <c r="Z34" i="73"/>
  <c r="X34" i="73"/>
  <c r="N34" i="73"/>
  <c r="L34" i="73"/>
  <c r="B34" i="73"/>
  <c r="X33" i="73"/>
  <c r="Z33" i="73" s="1"/>
  <c r="N33" i="73"/>
  <c r="L33" i="73"/>
  <c r="J33" i="73"/>
  <c r="B33" i="73"/>
  <c r="Z32" i="73"/>
  <c r="X32" i="73"/>
  <c r="V32" i="73"/>
  <c r="N32" i="73"/>
  <c r="L32" i="73"/>
  <c r="B32" i="73"/>
  <c r="Z31" i="73"/>
  <c r="X31" i="73"/>
  <c r="V31" i="73"/>
  <c r="N31" i="73"/>
  <c r="L31" i="73"/>
  <c r="B31" i="73"/>
  <c r="Z30" i="73"/>
  <c r="X30" i="73"/>
  <c r="N30" i="73"/>
  <c r="L30" i="73"/>
  <c r="B30" i="73"/>
  <c r="X29" i="73"/>
  <c r="Z29" i="73" s="1"/>
  <c r="N29" i="73"/>
  <c r="L29" i="73"/>
  <c r="J29" i="73"/>
  <c r="B29" i="73"/>
  <c r="Z28" i="73"/>
  <c r="X28" i="73"/>
  <c r="V28" i="73"/>
  <c r="N28" i="73"/>
  <c r="L28" i="73"/>
  <c r="B28" i="73"/>
  <c r="Z27" i="73"/>
  <c r="X27" i="73"/>
  <c r="V27" i="73"/>
  <c r="L27" i="73"/>
  <c r="N27" i="73" s="1"/>
  <c r="B27" i="73"/>
  <c r="X26" i="73"/>
  <c r="Z26" i="73" s="1"/>
  <c r="L26" i="73"/>
  <c r="N26" i="73" s="1"/>
  <c r="B26" i="73"/>
  <c r="X25" i="73"/>
  <c r="Z25" i="73" s="1"/>
  <c r="T25" i="73"/>
  <c r="P25" i="73"/>
  <c r="J25" i="73"/>
  <c r="H25" i="73"/>
  <c r="D25" i="73"/>
  <c r="L25" i="73" s="1"/>
  <c r="N25" i="73" s="1"/>
  <c r="B25" i="73"/>
  <c r="T24" i="73"/>
  <c r="P24" i="73"/>
  <c r="X24" i="73" s="1"/>
  <c r="H24" i="73"/>
  <c r="D24" i="73"/>
  <c r="T22" i="73"/>
  <c r="Z20" i="73"/>
  <c r="X20" i="73"/>
  <c r="R20" i="73"/>
  <c r="N20" i="73"/>
  <c r="L20" i="73"/>
  <c r="B20" i="73"/>
  <c r="Z19" i="73"/>
  <c r="X19" i="73"/>
  <c r="V19" i="73"/>
  <c r="N19" i="73"/>
  <c r="L19" i="73"/>
  <c r="J19" i="73"/>
  <c r="B19" i="73"/>
  <c r="X18" i="73"/>
  <c r="Z18" i="73" s="1"/>
  <c r="N18" i="73"/>
  <c r="L18" i="73"/>
  <c r="J18" i="73"/>
  <c r="B18" i="73"/>
  <c r="V17" i="73"/>
  <c r="T17" i="73"/>
  <c r="P17" i="73"/>
  <c r="X17" i="73" s="1"/>
  <c r="Z17" i="73" s="1"/>
  <c r="H17" i="73"/>
  <c r="H22" i="73" s="1"/>
  <c r="D17" i="73"/>
  <c r="Z15" i="73"/>
  <c r="P15" i="73"/>
  <c r="X15" i="73" s="1"/>
  <c r="N15" i="73"/>
  <c r="L15" i="73"/>
  <c r="D15" i="73"/>
  <c r="B15" i="73"/>
  <c r="P14" i="73"/>
  <c r="X14" i="73" s="1"/>
  <c r="Z14" i="73" s="1"/>
  <c r="D14" i="73"/>
  <c r="L14" i="73" s="1"/>
  <c r="N14" i="73" s="1"/>
  <c r="B14" i="73"/>
  <c r="Z13" i="73"/>
  <c r="P13" i="73"/>
  <c r="X13" i="73" s="1"/>
  <c r="N13" i="73"/>
  <c r="L13" i="73"/>
  <c r="D13" i="73"/>
  <c r="B13" i="73"/>
  <c r="T12" i="73"/>
  <c r="V77" i="73" s="1"/>
  <c r="P12" i="73"/>
  <c r="H12" i="73"/>
  <c r="J71" i="73" s="1"/>
  <c r="D6" i="73"/>
  <c r="D4" i="73"/>
  <c r="Z110" i="71"/>
  <c r="X110" i="71"/>
  <c r="L110" i="71"/>
  <c r="N110" i="71" s="1"/>
  <c r="P106" i="71"/>
  <c r="X106" i="71" s="1"/>
  <c r="Z106" i="71" s="1"/>
  <c r="J106" i="71"/>
  <c r="D106" i="71"/>
  <c r="L106" i="71" s="1"/>
  <c r="N106" i="71" s="1"/>
  <c r="B106" i="71"/>
  <c r="Z105" i="71"/>
  <c r="P105" i="71"/>
  <c r="X105" i="71" s="1"/>
  <c r="N105" i="71"/>
  <c r="L105" i="71"/>
  <c r="D105" i="71"/>
  <c r="B105" i="71"/>
  <c r="T104" i="71"/>
  <c r="H104" i="71"/>
  <c r="D104" i="71"/>
  <c r="L104" i="71" s="1"/>
  <c r="X102" i="71"/>
  <c r="Z102" i="71" s="1"/>
  <c r="N102" i="71"/>
  <c r="L102" i="71"/>
  <c r="B102" i="71"/>
  <c r="Z101" i="71"/>
  <c r="T101" i="71"/>
  <c r="P101" i="71"/>
  <c r="X101" i="71" s="1"/>
  <c r="H101" i="71"/>
  <c r="N101" i="71" s="1"/>
  <c r="D101" i="71"/>
  <c r="B101" i="71"/>
  <c r="X100" i="71"/>
  <c r="Z100" i="71" s="1"/>
  <c r="L100" i="71"/>
  <c r="N100" i="71" s="1"/>
  <c r="B100" i="71"/>
  <c r="V99" i="71"/>
  <c r="T99" i="71"/>
  <c r="P99" i="71"/>
  <c r="X99" i="71" s="1"/>
  <c r="Z99" i="71" s="1"/>
  <c r="H99" i="71"/>
  <c r="N99" i="71" s="1"/>
  <c r="D99" i="71"/>
  <c r="L99" i="71" s="1"/>
  <c r="B99" i="71"/>
  <c r="X98" i="71"/>
  <c r="Z98" i="71" s="1"/>
  <c r="L98" i="71"/>
  <c r="N98" i="71" s="1"/>
  <c r="B98" i="71"/>
  <c r="X97" i="71"/>
  <c r="Z97" i="71" s="1"/>
  <c r="N97" i="71"/>
  <c r="L97" i="71"/>
  <c r="B97" i="71"/>
  <c r="Z96" i="71"/>
  <c r="X96" i="71"/>
  <c r="N96" i="71"/>
  <c r="L96" i="71"/>
  <c r="B96" i="71"/>
  <c r="Z95" i="71"/>
  <c r="X95" i="71"/>
  <c r="N95" i="71"/>
  <c r="L95" i="71"/>
  <c r="B95" i="71"/>
  <c r="X94" i="71"/>
  <c r="T94" i="71"/>
  <c r="Z94" i="71" s="1"/>
  <c r="P94" i="71"/>
  <c r="L94" i="71"/>
  <c r="H94" i="71"/>
  <c r="N94" i="71" s="1"/>
  <c r="D94" i="71"/>
  <c r="B94" i="71"/>
  <c r="Z93" i="71"/>
  <c r="X93" i="71"/>
  <c r="N93" i="71"/>
  <c r="L93" i="71"/>
  <c r="B93" i="71"/>
  <c r="T92" i="71"/>
  <c r="Z92" i="71" s="1"/>
  <c r="P92" i="71"/>
  <c r="X92" i="71" s="1"/>
  <c r="H92" i="71"/>
  <c r="N92" i="71" s="1"/>
  <c r="D92" i="71"/>
  <c r="B92" i="71"/>
  <c r="Z91" i="71"/>
  <c r="X91" i="71"/>
  <c r="V91" i="71"/>
  <c r="N91" i="71"/>
  <c r="L91" i="71"/>
  <c r="B91" i="71"/>
  <c r="Z90" i="71"/>
  <c r="X90" i="71"/>
  <c r="V90" i="71"/>
  <c r="N90" i="71"/>
  <c r="L90" i="71"/>
  <c r="B90" i="71"/>
  <c r="V89" i="71"/>
  <c r="T89" i="71"/>
  <c r="P89" i="71"/>
  <c r="X89" i="71" s="1"/>
  <c r="J89" i="71"/>
  <c r="H89" i="71"/>
  <c r="D89" i="71"/>
  <c r="L89" i="71" s="1"/>
  <c r="N89" i="71" s="1"/>
  <c r="B89" i="71"/>
  <c r="X88" i="71"/>
  <c r="Z88" i="71" s="1"/>
  <c r="N88" i="71"/>
  <c r="L88" i="71"/>
  <c r="F88" i="71"/>
  <c r="B88" i="71"/>
  <c r="T87" i="71"/>
  <c r="P87" i="71"/>
  <c r="X87" i="71" s="1"/>
  <c r="Z87" i="71" s="1"/>
  <c r="L87" i="71"/>
  <c r="N87" i="71" s="1"/>
  <c r="H87" i="71"/>
  <c r="D87" i="71"/>
  <c r="B87" i="71"/>
  <c r="X86" i="71"/>
  <c r="Z86" i="71" s="1"/>
  <c r="N86" i="71"/>
  <c r="L86" i="71"/>
  <c r="J86" i="71"/>
  <c r="B86" i="71"/>
  <c r="T85" i="71"/>
  <c r="X85" i="71" s="1"/>
  <c r="Z85" i="71" s="1"/>
  <c r="P85" i="71"/>
  <c r="H85" i="71"/>
  <c r="D85" i="71"/>
  <c r="B85" i="71"/>
  <c r="Z84" i="71"/>
  <c r="X84" i="71"/>
  <c r="N84" i="71"/>
  <c r="L84" i="71"/>
  <c r="B84" i="71"/>
  <c r="Z83" i="71"/>
  <c r="X83" i="71"/>
  <c r="V83" i="71"/>
  <c r="N83" i="71"/>
  <c r="L83" i="71"/>
  <c r="B83" i="71"/>
  <c r="V82" i="71"/>
  <c r="T82" i="71"/>
  <c r="P82" i="71"/>
  <c r="X82" i="71" s="1"/>
  <c r="Z82" i="71" s="1"/>
  <c r="H82" i="71"/>
  <c r="N82" i="71" s="1"/>
  <c r="D82" i="71"/>
  <c r="L82" i="71" s="1"/>
  <c r="B82" i="71"/>
  <c r="X81" i="71"/>
  <c r="Z81" i="71" s="1"/>
  <c r="N81" i="71"/>
  <c r="L81" i="71"/>
  <c r="B81" i="71"/>
  <c r="X80" i="71"/>
  <c r="T80" i="71"/>
  <c r="Z80" i="71" s="1"/>
  <c r="P80" i="71"/>
  <c r="L80" i="71"/>
  <c r="H80" i="71"/>
  <c r="N80" i="71" s="1"/>
  <c r="D80" i="71"/>
  <c r="B80" i="71"/>
  <c r="Z79" i="71"/>
  <c r="X79" i="71"/>
  <c r="N79" i="71"/>
  <c r="L79" i="71"/>
  <c r="J79" i="71"/>
  <c r="B79" i="71"/>
  <c r="T78" i="71"/>
  <c r="P78" i="71"/>
  <c r="H78" i="71"/>
  <c r="D78" i="71"/>
  <c r="L78" i="71" s="1"/>
  <c r="B78" i="71"/>
  <c r="Z77" i="71"/>
  <c r="X77" i="71"/>
  <c r="V77" i="71"/>
  <c r="L77" i="71"/>
  <c r="N77" i="71" s="1"/>
  <c r="B77" i="71"/>
  <c r="T76" i="71"/>
  <c r="P76" i="71"/>
  <c r="X76" i="71" s="1"/>
  <c r="J76" i="71"/>
  <c r="H76" i="71"/>
  <c r="D76" i="71"/>
  <c r="L76" i="71" s="1"/>
  <c r="N76" i="71" s="1"/>
  <c r="B76" i="71"/>
  <c r="Z75" i="71"/>
  <c r="X75" i="71"/>
  <c r="N75" i="71"/>
  <c r="L75" i="71"/>
  <c r="B75" i="71"/>
  <c r="X74" i="71"/>
  <c r="T74" i="71"/>
  <c r="Z74" i="71" s="1"/>
  <c r="P74" i="71"/>
  <c r="L74" i="71"/>
  <c r="H74" i="71"/>
  <c r="N74" i="71" s="1"/>
  <c r="D74" i="71"/>
  <c r="B74" i="71"/>
  <c r="Z73" i="71"/>
  <c r="X73" i="71"/>
  <c r="V73" i="71"/>
  <c r="N73" i="71"/>
  <c r="L73" i="71"/>
  <c r="J73" i="71"/>
  <c r="B73" i="71"/>
  <c r="Z72" i="71"/>
  <c r="X72" i="71"/>
  <c r="N72" i="71"/>
  <c r="L72" i="71"/>
  <c r="B72" i="71"/>
  <c r="Z71" i="71"/>
  <c r="X71" i="71"/>
  <c r="N71" i="71"/>
  <c r="L71" i="71"/>
  <c r="J71" i="71"/>
  <c r="B71" i="71"/>
  <c r="X70" i="71"/>
  <c r="Z70" i="71" s="1"/>
  <c r="N70" i="71"/>
  <c r="L70" i="71"/>
  <c r="J70" i="71"/>
  <c r="B70" i="71"/>
  <c r="Z69" i="71"/>
  <c r="X69" i="71"/>
  <c r="V69" i="71"/>
  <c r="N69" i="71"/>
  <c r="L69" i="71"/>
  <c r="J69" i="71"/>
  <c r="B69" i="71"/>
  <c r="Z68" i="71"/>
  <c r="X68" i="71"/>
  <c r="N68" i="71"/>
  <c r="L68" i="71"/>
  <c r="B68" i="71"/>
  <c r="Z67" i="71"/>
  <c r="X67" i="71"/>
  <c r="N67" i="71"/>
  <c r="L67" i="71"/>
  <c r="J67" i="71"/>
  <c r="B67" i="71"/>
  <c r="Z66" i="71"/>
  <c r="X66" i="71"/>
  <c r="N66" i="71"/>
  <c r="L66" i="71"/>
  <c r="J66" i="71"/>
  <c r="B66" i="71"/>
  <c r="Z65" i="71"/>
  <c r="X65" i="71"/>
  <c r="V65" i="71"/>
  <c r="N65" i="71"/>
  <c r="L65" i="71"/>
  <c r="J65" i="71"/>
  <c r="B65" i="71"/>
  <c r="Z64" i="71"/>
  <c r="X64" i="71"/>
  <c r="N64" i="71"/>
  <c r="L64" i="71"/>
  <c r="B64" i="71"/>
  <c r="T63" i="71"/>
  <c r="P63" i="71"/>
  <c r="J63" i="71"/>
  <c r="H63" i="71"/>
  <c r="D63" i="71"/>
  <c r="L63" i="71" s="1"/>
  <c r="N63" i="71" s="1"/>
  <c r="B63" i="71"/>
  <c r="Z62" i="71"/>
  <c r="X62" i="71"/>
  <c r="V62" i="71"/>
  <c r="L62" i="71"/>
  <c r="N62" i="71" s="1"/>
  <c r="B62" i="71"/>
  <c r="Z61" i="71"/>
  <c r="X61" i="71"/>
  <c r="V61" i="71"/>
  <c r="L61" i="71"/>
  <c r="N61" i="71" s="1"/>
  <c r="B61" i="71"/>
  <c r="X60" i="71"/>
  <c r="Z60" i="71" s="1"/>
  <c r="L60" i="71"/>
  <c r="N60" i="71" s="1"/>
  <c r="J60" i="71"/>
  <c r="B60" i="71"/>
  <c r="Z59" i="71"/>
  <c r="X59" i="71"/>
  <c r="V59" i="71"/>
  <c r="N59" i="71"/>
  <c r="L59" i="71"/>
  <c r="B59" i="71"/>
  <c r="Z58" i="71"/>
  <c r="X58" i="71"/>
  <c r="V58" i="71"/>
  <c r="N58" i="71"/>
  <c r="L58" i="71"/>
  <c r="B58" i="71"/>
  <c r="Z57" i="71"/>
  <c r="X57" i="71"/>
  <c r="V57" i="71"/>
  <c r="L57" i="71"/>
  <c r="N57" i="71" s="1"/>
  <c r="B57" i="71"/>
  <c r="X56" i="71"/>
  <c r="Z56" i="71" s="1"/>
  <c r="L56" i="71"/>
  <c r="N56" i="71" s="1"/>
  <c r="J56" i="71"/>
  <c r="B56" i="71"/>
  <c r="Z55" i="71"/>
  <c r="X55" i="71"/>
  <c r="V55" i="71"/>
  <c r="N55" i="71"/>
  <c r="L55" i="71"/>
  <c r="B55" i="71"/>
  <c r="Z54" i="71"/>
  <c r="X54" i="71"/>
  <c r="V54" i="71"/>
  <c r="L54" i="71"/>
  <c r="N54" i="71" s="1"/>
  <c r="B54" i="71"/>
  <c r="Z53" i="71"/>
  <c r="X53" i="71"/>
  <c r="V53" i="71"/>
  <c r="L53" i="71"/>
  <c r="N53" i="71" s="1"/>
  <c r="B53" i="71"/>
  <c r="T52" i="71"/>
  <c r="Z52" i="71" s="1"/>
  <c r="P52" i="71"/>
  <c r="X52" i="71" s="1"/>
  <c r="J52" i="71"/>
  <c r="H52" i="71"/>
  <c r="D52" i="71"/>
  <c r="L52" i="71" s="1"/>
  <c r="N52" i="71" s="1"/>
  <c r="B52" i="71"/>
  <c r="V51" i="71"/>
  <c r="T51" i="71"/>
  <c r="P51" i="71"/>
  <c r="X51" i="71" s="1"/>
  <c r="Z51" i="71" s="1"/>
  <c r="L51" i="71"/>
  <c r="N51" i="71" s="1"/>
  <c r="H51" i="71"/>
  <c r="D51" i="71"/>
  <c r="Z47" i="71"/>
  <c r="X47" i="71"/>
  <c r="V47" i="71"/>
  <c r="N47" i="71"/>
  <c r="L47" i="71"/>
  <c r="J47" i="71"/>
  <c r="B47" i="71"/>
  <c r="Z46" i="71"/>
  <c r="X46" i="71"/>
  <c r="N46" i="71"/>
  <c r="L46" i="71"/>
  <c r="B46" i="71"/>
  <c r="Z45" i="71"/>
  <c r="X45" i="71"/>
  <c r="N45" i="71"/>
  <c r="L45" i="71"/>
  <c r="J45" i="71"/>
  <c r="B45" i="71"/>
  <c r="Z44" i="71"/>
  <c r="X44" i="71"/>
  <c r="V44" i="71"/>
  <c r="N44" i="71"/>
  <c r="L44" i="71"/>
  <c r="B44" i="71"/>
  <c r="Z43" i="71"/>
  <c r="X43" i="71"/>
  <c r="V43" i="71"/>
  <c r="N43" i="71"/>
  <c r="L43" i="71"/>
  <c r="J43" i="71"/>
  <c r="B43" i="71"/>
  <c r="Z42" i="71"/>
  <c r="X42" i="71"/>
  <c r="N42" i="71"/>
  <c r="L42" i="71"/>
  <c r="B42" i="71"/>
  <c r="Z41" i="71"/>
  <c r="X41" i="71"/>
  <c r="N41" i="71"/>
  <c r="L41" i="71"/>
  <c r="J41" i="71"/>
  <c r="B41" i="71"/>
  <c r="Z40" i="71"/>
  <c r="X40" i="71"/>
  <c r="V40" i="71"/>
  <c r="N40" i="71"/>
  <c r="L40" i="71"/>
  <c r="F40" i="71"/>
  <c r="B40" i="71"/>
  <c r="Z39" i="71"/>
  <c r="X39" i="71"/>
  <c r="V39" i="71"/>
  <c r="N39" i="71"/>
  <c r="L39" i="71"/>
  <c r="J39" i="71"/>
  <c r="B39" i="71"/>
  <c r="Z38" i="71"/>
  <c r="X38" i="71"/>
  <c r="N38" i="71"/>
  <c r="L38" i="71"/>
  <c r="B38" i="71"/>
  <c r="Z37" i="71"/>
  <c r="X37" i="71"/>
  <c r="N37" i="71"/>
  <c r="L37" i="71"/>
  <c r="J37" i="71"/>
  <c r="B37" i="71"/>
  <c r="Z36" i="71"/>
  <c r="X36" i="71"/>
  <c r="V36" i="71"/>
  <c r="N36" i="71"/>
  <c r="L36" i="71"/>
  <c r="F36" i="71"/>
  <c r="B36" i="71"/>
  <c r="Z35" i="71"/>
  <c r="X35" i="71"/>
  <c r="V35" i="71"/>
  <c r="N35" i="71"/>
  <c r="L35" i="71"/>
  <c r="J35" i="71"/>
  <c r="B35" i="71"/>
  <c r="X34" i="71"/>
  <c r="Z34" i="71" s="1"/>
  <c r="L34" i="71"/>
  <c r="N34" i="71" s="1"/>
  <c r="B34" i="71"/>
  <c r="X33" i="71"/>
  <c r="Z33" i="71" s="1"/>
  <c r="T33" i="71"/>
  <c r="P33" i="71"/>
  <c r="J33" i="71"/>
  <c r="H33" i="71"/>
  <c r="D33" i="71"/>
  <c r="L33" i="71" s="1"/>
  <c r="N33" i="71" s="1"/>
  <c r="Z31" i="71"/>
  <c r="X31" i="71"/>
  <c r="P31" i="71"/>
  <c r="N31" i="71"/>
  <c r="L31" i="71"/>
  <c r="D31" i="71"/>
  <c r="B31" i="71"/>
  <c r="Z30" i="71"/>
  <c r="X30" i="71"/>
  <c r="P30" i="71"/>
  <c r="N30" i="71"/>
  <c r="L30" i="71"/>
  <c r="D30" i="71"/>
  <c r="B30" i="71"/>
  <c r="Z29" i="71"/>
  <c r="P29" i="71"/>
  <c r="X29" i="71" s="1"/>
  <c r="N29" i="71"/>
  <c r="L29" i="71"/>
  <c r="D29" i="71"/>
  <c r="B29" i="71"/>
  <c r="Z28" i="71"/>
  <c r="X28" i="71"/>
  <c r="P28" i="71"/>
  <c r="N28" i="71"/>
  <c r="L28" i="71"/>
  <c r="D28" i="71"/>
  <c r="B28" i="71"/>
  <c r="Z27" i="71"/>
  <c r="P27" i="71"/>
  <c r="X27" i="71" s="1"/>
  <c r="N27" i="71"/>
  <c r="L27" i="71"/>
  <c r="D27" i="71"/>
  <c r="B27" i="71"/>
  <c r="Z26" i="71"/>
  <c r="P26" i="71"/>
  <c r="X26" i="71" s="1"/>
  <c r="N26" i="71"/>
  <c r="D26" i="71"/>
  <c r="L26" i="71" s="1"/>
  <c r="B26" i="71"/>
  <c r="Z25" i="71"/>
  <c r="P25" i="71"/>
  <c r="X25" i="71" s="1"/>
  <c r="N25" i="71"/>
  <c r="L25" i="71"/>
  <c r="D25" i="71"/>
  <c r="B25" i="71"/>
  <c r="Z24" i="71"/>
  <c r="P24" i="71"/>
  <c r="X24" i="71" s="1"/>
  <c r="N24" i="71"/>
  <c r="D24" i="71"/>
  <c r="L24" i="71" s="1"/>
  <c r="B24" i="71"/>
  <c r="Z23" i="71"/>
  <c r="P23" i="71"/>
  <c r="X23" i="71" s="1"/>
  <c r="N23" i="71"/>
  <c r="D23" i="71"/>
  <c r="L23" i="71" s="1"/>
  <c r="B23" i="71"/>
  <c r="Z22" i="71"/>
  <c r="X22" i="71"/>
  <c r="P22" i="71"/>
  <c r="N22" i="71"/>
  <c r="D22" i="71"/>
  <c r="L22" i="71" s="1"/>
  <c r="B22" i="71"/>
  <c r="Z21" i="71"/>
  <c r="X21" i="71"/>
  <c r="P21" i="71"/>
  <c r="N21" i="71"/>
  <c r="D21" i="71"/>
  <c r="L21" i="71" s="1"/>
  <c r="B21" i="71"/>
  <c r="Z20" i="71"/>
  <c r="X20" i="71"/>
  <c r="P20" i="71"/>
  <c r="N20" i="71"/>
  <c r="D20" i="71"/>
  <c r="L20" i="71" s="1"/>
  <c r="B20" i="71"/>
  <c r="X19" i="71"/>
  <c r="Z19" i="71" s="1"/>
  <c r="P19" i="71"/>
  <c r="L19" i="71"/>
  <c r="N19" i="71" s="1"/>
  <c r="D19" i="71"/>
  <c r="B19" i="71"/>
  <c r="Z18" i="71"/>
  <c r="X18" i="71"/>
  <c r="P18" i="71"/>
  <c r="N18" i="71"/>
  <c r="L18" i="71"/>
  <c r="D18" i="71"/>
  <c r="B18" i="71"/>
  <c r="Z17" i="71"/>
  <c r="P17" i="71"/>
  <c r="X17" i="71" s="1"/>
  <c r="N17" i="71"/>
  <c r="L17" i="71"/>
  <c r="D17" i="71"/>
  <c r="B17" i="71"/>
  <c r="Z16" i="71"/>
  <c r="X16" i="71"/>
  <c r="P16" i="71"/>
  <c r="N16" i="71"/>
  <c r="L16" i="71"/>
  <c r="D16" i="71"/>
  <c r="B16" i="71"/>
  <c r="Z15" i="71"/>
  <c r="P15" i="71"/>
  <c r="X15" i="71" s="1"/>
  <c r="N15" i="71"/>
  <c r="L15" i="71"/>
  <c r="D15" i="71"/>
  <c r="B15" i="71"/>
  <c r="Z14" i="71"/>
  <c r="P14" i="71"/>
  <c r="X14" i="71" s="1"/>
  <c r="N14" i="71"/>
  <c r="D14" i="71"/>
  <c r="L14" i="71" s="1"/>
  <c r="B14" i="71"/>
  <c r="P13" i="71"/>
  <c r="X13" i="71" s="1"/>
  <c r="Z13" i="71" s="1"/>
  <c r="L13" i="71"/>
  <c r="N13" i="71" s="1"/>
  <c r="D13" i="71"/>
  <c r="D12" i="71" s="1"/>
  <c r="B13" i="71"/>
  <c r="T12" i="71"/>
  <c r="V101" i="71" s="1"/>
  <c r="P12" i="71"/>
  <c r="H12" i="71"/>
  <c r="J97" i="71" s="1"/>
  <c r="D6" i="71"/>
  <c r="D4" i="71"/>
  <c r="Z85" i="70"/>
  <c r="X85" i="70"/>
  <c r="V85" i="70"/>
  <c r="L85" i="70"/>
  <c r="N85" i="70" s="1"/>
  <c r="P81" i="70"/>
  <c r="X81" i="70" s="1"/>
  <c r="Z81" i="70" s="1"/>
  <c r="D81" i="70"/>
  <c r="B81" i="70"/>
  <c r="T80" i="70"/>
  <c r="P80" i="70"/>
  <c r="X80" i="70" s="1"/>
  <c r="Z80" i="70" s="1"/>
  <c r="H80" i="70"/>
  <c r="Z78" i="70"/>
  <c r="X78" i="70"/>
  <c r="N78" i="70"/>
  <c r="L78" i="70"/>
  <c r="B78" i="70"/>
  <c r="X77" i="70"/>
  <c r="T77" i="70"/>
  <c r="Z77" i="70" s="1"/>
  <c r="P77" i="70"/>
  <c r="L77" i="70"/>
  <c r="H77" i="70"/>
  <c r="N77" i="70" s="1"/>
  <c r="D77" i="70"/>
  <c r="B77" i="70"/>
  <c r="Z76" i="70"/>
  <c r="X76" i="70"/>
  <c r="N76" i="70"/>
  <c r="L76" i="70"/>
  <c r="B76" i="70"/>
  <c r="T75" i="70"/>
  <c r="P75" i="70"/>
  <c r="H75" i="70"/>
  <c r="D75" i="70"/>
  <c r="B75" i="70"/>
  <c r="X74" i="70"/>
  <c r="Z74" i="70" s="1"/>
  <c r="V74" i="70"/>
  <c r="N74" i="70"/>
  <c r="L74" i="70"/>
  <c r="B74" i="70"/>
  <c r="Z73" i="70"/>
  <c r="X73" i="70"/>
  <c r="V73" i="70"/>
  <c r="L73" i="70"/>
  <c r="N73" i="70" s="1"/>
  <c r="B73" i="70"/>
  <c r="Z72" i="70"/>
  <c r="X72" i="70"/>
  <c r="V72" i="70"/>
  <c r="L72" i="70"/>
  <c r="N72" i="70" s="1"/>
  <c r="B72" i="70"/>
  <c r="Z71" i="70"/>
  <c r="X71" i="70"/>
  <c r="N71" i="70"/>
  <c r="L71" i="70"/>
  <c r="B71" i="70"/>
  <c r="Z70" i="70"/>
  <c r="X70" i="70"/>
  <c r="V70" i="70"/>
  <c r="N70" i="70"/>
  <c r="L70" i="70"/>
  <c r="B70" i="70"/>
  <c r="V69" i="70"/>
  <c r="T69" i="70"/>
  <c r="P69" i="70"/>
  <c r="X69" i="70" s="1"/>
  <c r="Z69" i="70" s="1"/>
  <c r="H69" i="70"/>
  <c r="N69" i="70" s="1"/>
  <c r="D69" i="70"/>
  <c r="L69" i="70" s="1"/>
  <c r="B69" i="70"/>
  <c r="X68" i="70"/>
  <c r="Z68" i="70" s="1"/>
  <c r="N68" i="70"/>
  <c r="L68" i="70"/>
  <c r="B68" i="70"/>
  <c r="X67" i="70"/>
  <c r="T67" i="70"/>
  <c r="Z67" i="70" s="1"/>
  <c r="P67" i="70"/>
  <c r="L67" i="70"/>
  <c r="H67" i="70"/>
  <c r="N67" i="70" s="1"/>
  <c r="D67" i="70"/>
  <c r="B67" i="70"/>
  <c r="Z66" i="70"/>
  <c r="X66" i="70"/>
  <c r="N66" i="70"/>
  <c r="L66" i="70"/>
  <c r="J66" i="70"/>
  <c r="B66" i="70"/>
  <c r="X65" i="70"/>
  <c r="Z65" i="70" s="1"/>
  <c r="N65" i="70"/>
  <c r="L65" i="70"/>
  <c r="J65" i="70"/>
  <c r="B65" i="70"/>
  <c r="Z64" i="70"/>
  <c r="X64" i="70"/>
  <c r="N64" i="70"/>
  <c r="L64" i="70"/>
  <c r="J64" i="70"/>
  <c r="B64" i="70"/>
  <c r="T63" i="70"/>
  <c r="P63" i="70"/>
  <c r="H63" i="70"/>
  <c r="D63" i="70"/>
  <c r="B63" i="70"/>
  <c r="X62" i="70"/>
  <c r="Z62" i="70" s="1"/>
  <c r="V62" i="70"/>
  <c r="N62" i="70"/>
  <c r="L62" i="70"/>
  <c r="B62" i="70"/>
  <c r="Z61" i="70"/>
  <c r="X61" i="70"/>
  <c r="V61" i="70"/>
  <c r="L61" i="70"/>
  <c r="N61" i="70" s="1"/>
  <c r="B61" i="70"/>
  <c r="V60" i="70"/>
  <c r="T60" i="70"/>
  <c r="P60" i="70"/>
  <c r="X60" i="70" s="1"/>
  <c r="J60" i="70"/>
  <c r="H60" i="70"/>
  <c r="D60" i="70"/>
  <c r="L60" i="70" s="1"/>
  <c r="N60" i="70" s="1"/>
  <c r="B60" i="70"/>
  <c r="X59" i="70"/>
  <c r="Z59" i="70" s="1"/>
  <c r="N59" i="70"/>
  <c r="L59" i="70"/>
  <c r="B59" i="70"/>
  <c r="T58" i="70"/>
  <c r="P58" i="70"/>
  <c r="X58" i="70" s="1"/>
  <c r="Z58" i="70" s="1"/>
  <c r="L58" i="70"/>
  <c r="N58" i="70" s="1"/>
  <c r="H58" i="70"/>
  <c r="D58" i="70"/>
  <c r="B58" i="70"/>
  <c r="X57" i="70"/>
  <c r="Z57" i="70" s="1"/>
  <c r="N57" i="70"/>
  <c r="L57" i="70"/>
  <c r="J57" i="70"/>
  <c r="B57" i="70"/>
  <c r="T56" i="70"/>
  <c r="P56" i="70"/>
  <c r="X56" i="70" s="1"/>
  <c r="Z56" i="70" s="1"/>
  <c r="H56" i="70"/>
  <c r="D56" i="70"/>
  <c r="B56" i="70"/>
  <c r="X55" i="70"/>
  <c r="Z55" i="70" s="1"/>
  <c r="L55" i="70"/>
  <c r="N55" i="70" s="1"/>
  <c r="B55" i="70"/>
  <c r="V54" i="70"/>
  <c r="T54" i="70"/>
  <c r="P54" i="70"/>
  <c r="X54" i="70" s="1"/>
  <c r="J54" i="70"/>
  <c r="H54" i="70"/>
  <c r="D54" i="70"/>
  <c r="L54" i="70" s="1"/>
  <c r="B54" i="70"/>
  <c r="X53" i="70"/>
  <c r="Z53" i="70" s="1"/>
  <c r="L53" i="70"/>
  <c r="N53" i="70" s="1"/>
  <c r="B53" i="70"/>
  <c r="X52" i="70"/>
  <c r="Z52" i="70" s="1"/>
  <c r="T52" i="70"/>
  <c r="P52" i="70"/>
  <c r="H52" i="70"/>
  <c r="D52" i="70"/>
  <c r="L52" i="70" s="1"/>
  <c r="N52" i="70" s="1"/>
  <c r="B52" i="70"/>
  <c r="Z51" i="70"/>
  <c r="X51" i="70"/>
  <c r="N51" i="70"/>
  <c r="L51" i="70"/>
  <c r="B51" i="70"/>
  <c r="Z50" i="70"/>
  <c r="X50" i="70"/>
  <c r="N50" i="70"/>
  <c r="L50" i="70"/>
  <c r="J50" i="70"/>
  <c r="B50" i="70"/>
  <c r="Z49" i="70"/>
  <c r="X49" i="70"/>
  <c r="N49" i="70"/>
  <c r="L49" i="70"/>
  <c r="J49" i="70"/>
  <c r="B49" i="70"/>
  <c r="Z48" i="70"/>
  <c r="X48" i="70"/>
  <c r="N48" i="70"/>
  <c r="L48" i="70"/>
  <c r="J48" i="70"/>
  <c r="B48" i="70"/>
  <c r="Z47" i="70"/>
  <c r="X47" i="70"/>
  <c r="N47" i="70"/>
  <c r="L47" i="70"/>
  <c r="B47" i="70"/>
  <c r="Z46" i="70"/>
  <c r="X46" i="70"/>
  <c r="N46" i="70"/>
  <c r="L46" i="70"/>
  <c r="J46" i="70"/>
  <c r="B46" i="70"/>
  <c r="Z45" i="70"/>
  <c r="X45" i="70"/>
  <c r="N45" i="70"/>
  <c r="L45" i="70"/>
  <c r="J45" i="70"/>
  <c r="B45" i="70"/>
  <c r="Z44" i="70"/>
  <c r="X44" i="70"/>
  <c r="V44" i="70"/>
  <c r="N44" i="70"/>
  <c r="L44" i="70"/>
  <c r="J44" i="70"/>
  <c r="B44" i="70"/>
  <c r="Z43" i="70"/>
  <c r="X43" i="70"/>
  <c r="L43" i="70"/>
  <c r="N43" i="70" s="1"/>
  <c r="B43" i="70"/>
  <c r="Z42" i="70"/>
  <c r="X42" i="70"/>
  <c r="N42" i="70"/>
  <c r="L42" i="70"/>
  <c r="J42" i="70"/>
  <c r="B42" i="70"/>
  <c r="T41" i="70"/>
  <c r="P41" i="70"/>
  <c r="H41" i="70"/>
  <c r="N41" i="70" s="1"/>
  <c r="D41" i="70"/>
  <c r="L41" i="70" s="1"/>
  <c r="B41" i="70"/>
  <c r="Z40" i="70"/>
  <c r="X40" i="70"/>
  <c r="V40" i="70"/>
  <c r="N40" i="70"/>
  <c r="L40" i="70"/>
  <c r="B40" i="70"/>
  <c r="X39" i="70"/>
  <c r="Z39" i="70" s="1"/>
  <c r="L39" i="70"/>
  <c r="N39" i="70" s="1"/>
  <c r="J39" i="70"/>
  <c r="B39" i="70"/>
  <c r="X38" i="70"/>
  <c r="Z38" i="70" s="1"/>
  <c r="V38" i="70"/>
  <c r="N38" i="70"/>
  <c r="L38" i="70"/>
  <c r="B38" i="70"/>
  <c r="Z37" i="70"/>
  <c r="X37" i="70"/>
  <c r="V37" i="70"/>
  <c r="N37" i="70"/>
  <c r="L37" i="70"/>
  <c r="B37" i="70"/>
  <c r="Z36" i="70"/>
  <c r="X36" i="70"/>
  <c r="V36" i="70"/>
  <c r="L36" i="70"/>
  <c r="N36" i="70" s="1"/>
  <c r="B36" i="70"/>
  <c r="X35" i="70"/>
  <c r="Z35" i="70" s="1"/>
  <c r="L35" i="70"/>
  <c r="N35" i="70" s="1"/>
  <c r="J35" i="70"/>
  <c r="B35" i="70"/>
  <c r="X34" i="70"/>
  <c r="Z34" i="70" s="1"/>
  <c r="V34" i="70"/>
  <c r="N34" i="70"/>
  <c r="L34" i="70"/>
  <c r="B34" i="70"/>
  <c r="Z33" i="70"/>
  <c r="X33" i="70"/>
  <c r="V33" i="70"/>
  <c r="L33" i="70"/>
  <c r="N33" i="70" s="1"/>
  <c r="B33" i="70"/>
  <c r="Z32" i="70"/>
  <c r="X32" i="70"/>
  <c r="V32" i="70"/>
  <c r="L32" i="70"/>
  <c r="N32" i="70" s="1"/>
  <c r="B32" i="70"/>
  <c r="T31" i="70"/>
  <c r="P31" i="70"/>
  <c r="X31" i="70" s="1"/>
  <c r="J31" i="70"/>
  <c r="H31" i="70"/>
  <c r="D31" i="70"/>
  <c r="L31" i="70" s="1"/>
  <c r="N31" i="70" s="1"/>
  <c r="B31" i="70"/>
  <c r="T30" i="70"/>
  <c r="P30" i="70"/>
  <c r="X30" i="70" s="1"/>
  <c r="Z30" i="70" s="1"/>
  <c r="L30" i="70"/>
  <c r="N30" i="70" s="1"/>
  <c r="H30" i="70"/>
  <c r="D30" i="70"/>
  <c r="Z26" i="70"/>
  <c r="T26" i="70"/>
  <c r="P26" i="70"/>
  <c r="X26" i="70" s="1"/>
  <c r="N26" i="70"/>
  <c r="L26" i="70"/>
  <c r="H26" i="70"/>
  <c r="D26" i="70"/>
  <c r="Z24" i="70"/>
  <c r="P24" i="70"/>
  <c r="X24" i="70" s="1"/>
  <c r="N24" i="70"/>
  <c r="L24" i="70"/>
  <c r="D24" i="70"/>
  <c r="B24" i="70"/>
  <c r="Z23" i="70"/>
  <c r="P23" i="70"/>
  <c r="X23" i="70" s="1"/>
  <c r="N23" i="70"/>
  <c r="D23" i="70"/>
  <c r="L23" i="70" s="1"/>
  <c r="B23" i="70"/>
  <c r="Z22" i="70"/>
  <c r="P22" i="70"/>
  <c r="X22" i="70" s="1"/>
  <c r="N22" i="70"/>
  <c r="D22" i="70"/>
  <c r="L22" i="70" s="1"/>
  <c r="B22" i="70"/>
  <c r="Z21" i="70"/>
  <c r="X21" i="70"/>
  <c r="P21" i="70"/>
  <c r="N21" i="70"/>
  <c r="D21" i="70"/>
  <c r="L21" i="70" s="1"/>
  <c r="B21" i="70"/>
  <c r="Z20" i="70"/>
  <c r="X20" i="70"/>
  <c r="P20" i="70"/>
  <c r="N20" i="70"/>
  <c r="D20" i="70"/>
  <c r="L20" i="70" s="1"/>
  <c r="B20" i="70"/>
  <c r="Z19" i="70"/>
  <c r="X19" i="70"/>
  <c r="P19" i="70"/>
  <c r="N19" i="70"/>
  <c r="D19" i="70"/>
  <c r="L19" i="70" s="1"/>
  <c r="B19" i="70"/>
  <c r="X18" i="70"/>
  <c r="Z18" i="70" s="1"/>
  <c r="P18" i="70"/>
  <c r="L18" i="70"/>
  <c r="N18" i="70" s="1"/>
  <c r="D18" i="70"/>
  <c r="B18" i="70"/>
  <c r="Z17" i="70"/>
  <c r="X17" i="70"/>
  <c r="P17" i="70"/>
  <c r="N17" i="70"/>
  <c r="L17" i="70"/>
  <c r="D17" i="70"/>
  <c r="B17" i="70"/>
  <c r="Z16" i="70"/>
  <c r="P16" i="70"/>
  <c r="X16" i="70" s="1"/>
  <c r="N16" i="70"/>
  <c r="L16" i="70"/>
  <c r="D16" i="70"/>
  <c r="B16" i="70"/>
  <c r="Z15" i="70"/>
  <c r="X15" i="70"/>
  <c r="P15" i="70"/>
  <c r="N15" i="70"/>
  <c r="L15" i="70"/>
  <c r="D15" i="70"/>
  <c r="B15" i="70"/>
  <c r="Z14" i="70"/>
  <c r="P14" i="70"/>
  <c r="X14" i="70" s="1"/>
  <c r="N14" i="70"/>
  <c r="L14" i="70"/>
  <c r="D14" i="70"/>
  <c r="B14" i="70"/>
  <c r="P13" i="70"/>
  <c r="D13" i="70"/>
  <c r="L13" i="70" s="1"/>
  <c r="N13" i="70" s="1"/>
  <c r="B13" i="70"/>
  <c r="T12" i="70"/>
  <c r="V76" i="70" s="1"/>
  <c r="H12" i="70"/>
  <c r="J68" i="70" s="1"/>
  <c r="D6" i="70"/>
  <c r="D4" i="70"/>
  <c r="Z155" i="69"/>
  <c r="X155" i="69"/>
  <c r="N155" i="69"/>
  <c r="L155" i="69"/>
  <c r="J155" i="69"/>
  <c r="Z151" i="69"/>
  <c r="X151" i="69"/>
  <c r="P151" i="69"/>
  <c r="N151" i="69"/>
  <c r="L151" i="69"/>
  <c r="D151" i="69"/>
  <c r="B151" i="69"/>
  <c r="Z150" i="69"/>
  <c r="X150" i="69"/>
  <c r="V150" i="69"/>
  <c r="P150" i="69"/>
  <c r="N150" i="69"/>
  <c r="D150" i="69"/>
  <c r="L150" i="69" s="1"/>
  <c r="B150" i="69"/>
  <c r="Z149" i="69"/>
  <c r="X149" i="69"/>
  <c r="P149" i="69"/>
  <c r="L149" i="69"/>
  <c r="N149" i="69" s="1"/>
  <c r="D149" i="69"/>
  <c r="B149" i="69"/>
  <c r="Z148" i="69"/>
  <c r="P148" i="69"/>
  <c r="X148" i="69" s="1"/>
  <c r="N148" i="69"/>
  <c r="D148" i="69"/>
  <c r="D147" i="69" s="1"/>
  <c r="L147" i="69" s="1"/>
  <c r="B148" i="69"/>
  <c r="T147" i="69"/>
  <c r="P147" i="69"/>
  <c r="X147" i="69" s="1"/>
  <c r="H147" i="69"/>
  <c r="N147" i="69" s="1"/>
  <c r="Z145" i="69"/>
  <c r="X145" i="69"/>
  <c r="N145" i="69"/>
  <c r="L145" i="69"/>
  <c r="B145" i="69"/>
  <c r="X144" i="69"/>
  <c r="Z144" i="69" s="1"/>
  <c r="L144" i="69"/>
  <c r="N144" i="69" s="1"/>
  <c r="B144" i="69"/>
  <c r="X143" i="69"/>
  <c r="T143" i="69"/>
  <c r="Z143" i="69" s="1"/>
  <c r="P143" i="69"/>
  <c r="H143" i="69"/>
  <c r="D143" i="69"/>
  <c r="L143" i="69" s="1"/>
  <c r="B143" i="69"/>
  <c r="X142" i="69"/>
  <c r="Z142" i="69" s="1"/>
  <c r="N142" i="69"/>
  <c r="L142" i="69"/>
  <c r="B142" i="69"/>
  <c r="X141" i="69"/>
  <c r="Z141" i="69" s="1"/>
  <c r="T141" i="69"/>
  <c r="P141" i="69"/>
  <c r="N141" i="69"/>
  <c r="H141" i="69"/>
  <c r="D141" i="69"/>
  <c r="L141" i="69" s="1"/>
  <c r="B141" i="69"/>
  <c r="Z140" i="69"/>
  <c r="X140" i="69"/>
  <c r="L140" i="69"/>
  <c r="N140" i="69" s="1"/>
  <c r="B140" i="69"/>
  <c r="Z139" i="69"/>
  <c r="T139" i="69"/>
  <c r="X139" i="69" s="1"/>
  <c r="P139" i="69"/>
  <c r="H139" i="69"/>
  <c r="D139" i="69"/>
  <c r="L139" i="69" s="1"/>
  <c r="N139" i="69" s="1"/>
  <c r="B139" i="69"/>
  <c r="Z138" i="69"/>
  <c r="X138" i="69"/>
  <c r="L138" i="69"/>
  <c r="N138" i="69" s="1"/>
  <c r="B138" i="69"/>
  <c r="Z137" i="69"/>
  <c r="X137" i="69"/>
  <c r="L137" i="69"/>
  <c r="N137" i="69" s="1"/>
  <c r="B137" i="69"/>
  <c r="X136" i="69"/>
  <c r="Z136" i="69" s="1"/>
  <c r="L136" i="69"/>
  <c r="N136" i="69" s="1"/>
  <c r="B136" i="69"/>
  <c r="X135" i="69"/>
  <c r="Z135" i="69" s="1"/>
  <c r="N135" i="69"/>
  <c r="L135" i="69"/>
  <c r="B135" i="69"/>
  <c r="Z134" i="69"/>
  <c r="X134" i="69"/>
  <c r="L134" i="69"/>
  <c r="N134" i="69" s="1"/>
  <c r="B134" i="69"/>
  <c r="Z133" i="69"/>
  <c r="X133" i="69"/>
  <c r="L133" i="69"/>
  <c r="N133" i="69" s="1"/>
  <c r="B133" i="69"/>
  <c r="X132" i="69"/>
  <c r="Z132" i="69" s="1"/>
  <c r="L132" i="69"/>
  <c r="N132" i="69" s="1"/>
  <c r="B132" i="69"/>
  <c r="X131" i="69"/>
  <c r="T131" i="69"/>
  <c r="Z131" i="69" s="1"/>
  <c r="P131" i="69"/>
  <c r="H131" i="69"/>
  <c r="D131" i="69"/>
  <c r="L131" i="69" s="1"/>
  <c r="B131" i="69"/>
  <c r="Z130" i="69"/>
  <c r="X130" i="69"/>
  <c r="N130" i="69"/>
  <c r="L130" i="69"/>
  <c r="B130" i="69"/>
  <c r="X129" i="69"/>
  <c r="Z129" i="69" s="1"/>
  <c r="N129" i="69"/>
  <c r="L129" i="69"/>
  <c r="B129" i="69"/>
  <c r="X128" i="69"/>
  <c r="T128" i="69"/>
  <c r="Z128" i="69" s="1"/>
  <c r="P128" i="69"/>
  <c r="L128" i="69"/>
  <c r="H128" i="69"/>
  <c r="N128" i="69" s="1"/>
  <c r="D128" i="69"/>
  <c r="B128" i="69"/>
  <c r="Z127" i="69"/>
  <c r="X127" i="69"/>
  <c r="L127" i="69"/>
  <c r="N127" i="69" s="1"/>
  <c r="B127" i="69"/>
  <c r="X126" i="69"/>
  <c r="Z126" i="69" s="1"/>
  <c r="N126" i="69"/>
  <c r="L126" i="69"/>
  <c r="B126" i="69"/>
  <c r="Z125" i="69"/>
  <c r="X125" i="69"/>
  <c r="N125" i="69"/>
  <c r="L125" i="69"/>
  <c r="B125" i="69"/>
  <c r="T124" i="69"/>
  <c r="P124" i="69"/>
  <c r="H124" i="69"/>
  <c r="D124" i="69"/>
  <c r="B124" i="69"/>
  <c r="X123" i="69"/>
  <c r="Z123" i="69" s="1"/>
  <c r="N123" i="69"/>
  <c r="L123" i="69"/>
  <c r="B123" i="69"/>
  <c r="T122" i="69"/>
  <c r="P122" i="69"/>
  <c r="X122" i="69" s="1"/>
  <c r="Z122" i="69" s="1"/>
  <c r="H122" i="69"/>
  <c r="N122" i="69" s="1"/>
  <c r="D122" i="69"/>
  <c r="L122" i="69" s="1"/>
  <c r="B122" i="69"/>
  <c r="X121" i="69"/>
  <c r="Z121" i="69" s="1"/>
  <c r="N121" i="69"/>
  <c r="L121" i="69"/>
  <c r="B121" i="69"/>
  <c r="X120" i="69"/>
  <c r="T120" i="69"/>
  <c r="Z120" i="69" s="1"/>
  <c r="P120" i="69"/>
  <c r="L120" i="69"/>
  <c r="H120" i="69"/>
  <c r="N120" i="69" s="1"/>
  <c r="D120" i="69"/>
  <c r="B120" i="69"/>
  <c r="Z119" i="69"/>
  <c r="X119" i="69"/>
  <c r="N119" i="69"/>
  <c r="L119" i="69"/>
  <c r="B119" i="69"/>
  <c r="X118" i="69"/>
  <c r="Z118" i="69" s="1"/>
  <c r="R118" i="69"/>
  <c r="N118" i="69"/>
  <c r="L118" i="69"/>
  <c r="B118" i="69"/>
  <c r="T117" i="69"/>
  <c r="P117" i="69"/>
  <c r="X117" i="69" s="1"/>
  <c r="Z117" i="69" s="1"/>
  <c r="H117" i="69"/>
  <c r="L117" i="69" s="1"/>
  <c r="D117" i="69"/>
  <c r="B117" i="69"/>
  <c r="X116" i="69"/>
  <c r="Z116" i="69" s="1"/>
  <c r="N116" i="69"/>
  <c r="L116" i="69"/>
  <c r="B116" i="69"/>
  <c r="X115" i="69"/>
  <c r="T115" i="69"/>
  <c r="Z115" i="69" s="1"/>
  <c r="P115" i="69"/>
  <c r="H115" i="69"/>
  <c r="N115" i="69" s="1"/>
  <c r="D115" i="69"/>
  <c r="L115" i="69" s="1"/>
  <c r="B115" i="69"/>
  <c r="X114" i="69"/>
  <c r="Z114" i="69" s="1"/>
  <c r="L114" i="69"/>
  <c r="N114" i="69" s="1"/>
  <c r="B114" i="69"/>
  <c r="Z113" i="69"/>
  <c r="X113" i="69"/>
  <c r="N113" i="69"/>
  <c r="L113" i="69"/>
  <c r="B113" i="69"/>
  <c r="X112" i="69"/>
  <c r="T112" i="69"/>
  <c r="P112" i="69"/>
  <c r="H112" i="69"/>
  <c r="L112" i="69" s="1"/>
  <c r="D112" i="69"/>
  <c r="B112" i="69"/>
  <c r="X111" i="69"/>
  <c r="Z111" i="69" s="1"/>
  <c r="L111" i="69"/>
  <c r="N111" i="69" s="1"/>
  <c r="J111" i="69"/>
  <c r="B111" i="69"/>
  <c r="T110" i="69"/>
  <c r="P110" i="69"/>
  <c r="H110" i="69"/>
  <c r="N110" i="69" s="1"/>
  <c r="D110" i="69"/>
  <c r="L110" i="69" s="1"/>
  <c r="B110" i="69"/>
  <c r="Z109" i="69"/>
  <c r="X109" i="69"/>
  <c r="N109" i="69"/>
  <c r="L109" i="69"/>
  <c r="B109" i="69"/>
  <c r="X108" i="69"/>
  <c r="Z108" i="69" s="1"/>
  <c r="L108" i="69"/>
  <c r="N108" i="69" s="1"/>
  <c r="B108" i="69"/>
  <c r="T107" i="69"/>
  <c r="P107" i="69"/>
  <c r="X107" i="69" s="1"/>
  <c r="J107" i="69"/>
  <c r="H107" i="69"/>
  <c r="D107" i="69"/>
  <c r="L107" i="69" s="1"/>
  <c r="B107" i="69"/>
  <c r="Z106" i="69"/>
  <c r="X106" i="69"/>
  <c r="N106" i="69"/>
  <c r="L106" i="69"/>
  <c r="B106" i="69"/>
  <c r="Z105" i="69"/>
  <c r="X105" i="69"/>
  <c r="T105" i="69"/>
  <c r="P105" i="69"/>
  <c r="N105" i="69"/>
  <c r="H105" i="69"/>
  <c r="D105" i="69"/>
  <c r="L105" i="69" s="1"/>
  <c r="B105" i="69"/>
  <c r="Z104" i="69"/>
  <c r="X104" i="69"/>
  <c r="N104" i="69"/>
  <c r="L104" i="69"/>
  <c r="B104" i="69"/>
  <c r="Z103" i="69"/>
  <c r="T103" i="69"/>
  <c r="X103" i="69" s="1"/>
  <c r="P103" i="69"/>
  <c r="N103" i="69"/>
  <c r="H103" i="69"/>
  <c r="D103" i="69"/>
  <c r="L103" i="69" s="1"/>
  <c r="B103" i="69"/>
  <c r="Z102" i="69"/>
  <c r="X102" i="69"/>
  <c r="V102" i="69"/>
  <c r="L102" i="69"/>
  <c r="N102" i="69" s="1"/>
  <c r="B102" i="69"/>
  <c r="T101" i="69"/>
  <c r="P101" i="69"/>
  <c r="H101" i="69"/>
  <c r="D101" i="69"/>
  <c r="L101" i="69" s="1"/>
  <c r="N101" i="69" s="1"/>
  <c r="B101" i="69"/>
  <c r="Z100" i="69"/>
  <c r="X100" i="69"/>
  <c r="N100" i="69"/>
  <c r="L100" i="69"/>
  <c r="B100" i="69"/>
  <c r="Z99" i="69"/>
  <c r="X99" i="69"/>
  <c r="N99" i="69"/>
  <c r="L99" i="69"/>
  <c r="B99" i="69"/>
  <c r="X98" i="69"/>
  <c r="Z98" i="69" s="1"/>
  <c r="L98" i="69"/>
  <c r="N98" i="69" s="1"/>
  <c r="B98" i="69"/>
  <c r="X97" i="69"/>
  <c r="Z97" i="69" s="1"/>
  <c r="N97" i="69"/>
  <c r="L97" i="69"/>
  <c r="B97" i="69"/>
  <c r="Z96" i="69"/>
  <c r="X96" i="69"/>
  <c r="V96" i="69"/>
  <c r="N96" i="69"/>
  <c r="L96" i="69"/>
  <c r="B96" i="69"/>
  <c r="Z95" i="69"/>
  <c r="X95" i="69"/>
  <c r="N95" i="69"/>
  <c r="L95" i="69"/>
  <c r="B95" i="69"/>
  <c r="X94" i="69"/>
  <c r="Z94" i="69" s="1"/>
  <c r="L94" i="69"/>
  <c r="N94" i="69" s="1"/>
  <c r="B94" i="69"/>
  <c r="Z93" i="69"/>
  <c r="X93" i="69"/>
  <c r="N93" i="69"/>
  <c r="L93" i="69"/>
  <c r="B93" i="69"/>
  <c r="X92" i="69"/>
  <c r="Z92" i="69" s="1"/>
  <c r="V92" i="69"/>
  <c r="N92" i="69"/>
  <c r="L92" i="69"/>
  <c r="B92" i="69"/>
  <c r="Z91" i="69"/>
  <c r="X91" i="69"/>
  <c r="N91" i="69"/>
  <c r="L91" i="69"/>
  <c r="B91" i="69"/>
  <c r="T90" i="69"/>
  <c r="P90" i="69"/>
  <c r="L90" i="69"/>
  <c r="H90" i="69"/>
  <c r="N90" i="69" s="1"/>
  <c r="D90" i="69"/>
  <c r="B90" i="69"/>
  <c r="Z89" i="69"/>
  <c r="X89" i="69"/>
  <c r="V89" i="69"/>
  <c r="N89" i="69"/>
  <c r="L89" i="69"/>
  <c r="J89" i="69"/>
  <c r="B89" i="69"/>
  <c r="Z88" i="69"/>
  <c r="X88" i="69"/>
  <c r="L88" i="69"/>
  <c r="N88" i="69" s="1"/>
  <c r="B88" i="69"/>
  <c r="Z87" i="69"/>
  <c r="X87" i="69"/>
  <c r="N87" i="69"/>
  <c r="L87" i="69"/>
  <c r="B87" i="69"/>
  <c r="Z86" i="69"/>
  <c r="X86" i="69"/>
  <c r="N86" i="69"/>
  <c r="L86" i="69"/>
  <c r="J86" i="69"/>
  <c r="B86" i="69"/>
  <c r="Z85" i="69"/>
  <c r="X85" i="69"/>
  <c r="N85" i="69"/>
  <c r="L85" i="69"/>
  <c r="B85" i="69"/>
  <c r="Z84" i="69"/>
  <c r="X84" i="69"/>
  <c r="L84" i="69"/>
  <c r="N84" i="69" s="1"/>
  <c r="B84" i="69"/>
  <c r="X83" i="69"/>
  <c r="Z83" i="69" s="1"/>
  <c r="N83" i="69"/>
  <c r="L83" i="69"/>
  <c r="B83" i="69"/>
  <c r="X82" i="69"/>
  <c r="Z82" i="69" s="1"/>
  <c r="N82" i="69"/>
  <c r="L82" i="69"/>
  <c r="J82" i="69"/>
  <c r="B82" i="69"/>
  <c r="Z81" i="69"/>
  <c r="X81" i="69"/>
  <c r="N81" i="69"/>
  <c r="L81" i="69"/>
  <c r="B81" i="69"/>
  <c r="T80" i="69"/>
  <c r="P80" i="69"/>
  <c r="X80" i="69" s="1"/>
  <c r="H80" i="69"/>
  <c r="D80" i="69"/>
  <c r="L80" i="69" s="1"/>
  <c r="B80" i="69"/>
  <c r="T79" i="69"/>
  <c r="P79" i="69"/>
  <c r="X79" i="69" s="1"/>
  <c r="H79" i="69"/>
  <c r="D79" i="69"/>
  <c r="H77" i="69"/>
  <c r="Z75" i="69"/>
  <c r="X75" i="69"/>
  <c r="N75" i="69"/>
  <c r="L75" i="69"/>
  <c r="B75" i="69"/>
  <c r="Z74" i="69"/>
  <c r="X74" i="69"/>
  <c r="N74" i="69"/>
  <c r="L74" i="69"/>
  <c r="B74" i="69"/>
  <c r="Z73" i="69"/>
  <c r="X73" i="69"/>
  <c r="N73" i="69"/>
  <c r="L73" i="69"/>
  <c r="B73" i="69"/>
  <c r="Z72" i="69"/>
  <c r="X72" i="69"/>
  <c r="N72" i="69"/>
  <c r="L72" i="69"/>
  <c r="J72" i="69"/>
  <c r="B72" i="69"/>
  <c r="Z71" i="69"/>
  <c r="X71" i="69"/>
  <c r="R71" i="69"/>
  <c r="N71" i="69"/>
  <c r="L71" i="69"/>
  <c r="B71" i="69"/>
  <c r="Z70" i="69"/>
  <c r="X70" i="69"/>
  <c r="N70" i="69"/>
  <c r="L70" i="69"/>
  <c r="J70" i="69"/>
  <c r="B70" i="69"/>
  <c r="Z69" i="69"/>
  <c r="X69" i="69"/>
  <c r="N69" i="69"/>
  <c r="L69" i="69"/>
  <c r="B69" i="69"/>
  <c r="Z68" i="69"/>
  <c r="X68" i="69"/>
  <c r="V68" i="69"/>
  <c r="N68" i="69"/>
  <c r="L68" i="69"/>
  <c r="B68" i="69"/>
  <c r="Z67" i="69"/>
  <c r="X67" i="69"/>
  <c r="N67" i="69"/>
  <c r="L67" i="69"/>
  <c r="B67" i="69"/>
  <c r="Z66" i="69"/>
  <c r="X66" i="69"/>
  <c r="N66" i="69"/>
  <c r="L66" i="69"/>
  <c r="J66" i="69"/>
  <c r="B66" i="69"/>
  <c r="Z65" i="69"/>
  <c r="X65" i="69"/>
  <c r="N65" i="69"/>
  <c r="L65" i="69"/>
  <c r="B65" i="69"/>
  <c r="Z64" i="69"/>
  <c r="X64" i="69"/>
  <c r="N64" i="69"/>
  <c r="L64" i="69"/>
  <c r="J64" i="69"/>
  <c r="B64" i="69"/>
  <c r="Z63" i="69"/>
  <c r="X63" i="69"/>
  <c r="N63" i="69"/>
  <c r="L63" i="69"/>
  <c r="J63" i="69"/>
  <c r="B63" i="69"/>
  <c r="Z62" i="69"/>
  <c r="X62" i="69"/>
  <c r="V62" i="69"/>
  <c r="N62" i="69"/>
  <c r="L62" i="69"/>
  <c r="J62" i="69"/>
  <c r="B62" i="69"/>
  <c r="Z61" i="69"/>
  <c r="X61" i="69"/>
  <c r="N61" i="69"/>
  <c r="L61" i="69"/>
  <c r="B61" i="69"/>
  <c r="Z60" i="69"/>
  <c r="X60" i="69"/>
  <c r="N60" i="69"/>
  <c r="L60" i="69"/>
  <c r="J60" i="69"/>
  <c r="B60" i="69"/>
  <c r="Z59" i="69"/>
  <c r="X59" i="69"/>
  <c r="V59" i="69"/>
  <c r="R59" i="69"/>
  <c r="N59" i="69"/>
  <c r="L59" i="69"/>
  <c r="B59" i="69"/>
  <c r="Z58" i="69"/>
  <c r="X58" i="69"/>
  <c r="N58" i="69"/>
  <c r="L58" i="69"/>
  <c r="J58" i="69"/>
  <c r="B58" i="69"/>
  <c r="Z57" i="69"/>
  <c r="X57" i="69"/>
  <c r="N57" i="69"/>
  <c r="L57" i="69"/>
  <c r="J57" i="69"/>
  <c r="B57" i="69"/>
  <c r="Z56" i="69"/>
  <c r="X56" i="69"/>
  <c r="N56" i="69"/>
  <c r="L56" i="69"/>
  <c r="J56" i="69"/>
  <c r="B56" i="69"/>
  <c r="Z55" i="69"/>
  <c r="X55" i="69"/>
  <c r="R55" i="69"/>
  <c r="N55" i="69"/>
  <c r="L55" i="69"/>
  <c r="J55" i="69"/>
  <c r="B55" i="69"/>
  <c r="Z54" i="69"/>
  <c r="X54" i="69"/>
  <c r="N54" i="69"/>
  <c r="L54" i="69"/>
  <c r="J54" i="69"/>
  <c r="B54" i="69"/>
  <c r="Z53" i="69"/>
  <c r="X53" i="69"/>
  <c r="N53" i="69"/>
  <c r="L53" i="69"/>
  <c r="J53" i="69"/>
  <c r="B53" i="69"/>
  <c r="Z52" i="69"/>
  <c r="X52" i="69"/>
  <c r="T52" i="69"/>
  <c r="P52" i="69"/>
  <c r="H52" i="69"/>
  <c r="L52" i="69" s="1"/>
  <c r="N52" i="69" s="1"/>
  <c r="D52" i="69"/>
  <c r="Z50" i="69"/>
  <c r="X50" i="69"/>
  <c r="P50" i="69"/>
  <c r="N50" i="69"/>
  <c r="D50" i="69"/>
  <c r="L50" i="69" s="1"/>
  <c r="B50" i="69"/>
  <c r="Z49" i="69"/>
  <c r="P49" i="69"/>
  <c r="X49" i="69" s="1"/>
  <c r="N49" i="69"/>
  <c r="D49" i="69"/>
  <c r="L49" i="69" s="1"/>
  <c r="B49" i="69"/>
  <c r="Z48" i="69"/>
  <c r="X48" i="69"/>
  <c r="P48" i="69"/>
  <c r="N48" i="69"/>
  <c r="L48" i="69"/>
  <c r="D48" i="69"/>
  <c r="B48" i="69"/>
  <c r="Z47" i="69"/>
  <c r="X47" i="69"/>
  <c r="P47" i="69"/>
  <c r="N47" i="69"/>
  <c r="L47" i="69"/>
  <c r="D47" i="69"/>
  <c r="B47" i="69"/>
  <c r="Z46" i="69"/>
  <c r="P46" i="69"/>
  <c r="X46" i="69" s="1"/>
  <c r="N46" i="69"/>
  <c r="D46" i="69"/>
  <c r="L46" i="69" s="1"/>
  <c r="B46" i="69"/>
  <c r="Z45" i="69"/>
  <c r="X45" i="69"/>
  <c r="P45" i="69"/>
  <c r="N45" i="69"/>
  <c r="L45" i="69"/>
  <c r="D45" i="69"/>
  <c r="B45" i="69"/>
  <c r="Z44" i="69"/>
  <c r="X44" i="69"/>
  <c r="P44" i="69"/>
  <c r="N44" i="69"/>
  <c r="L44" i="69"/>
  <c r="D44" i="69"/>
  <c r="B44" i="69"/>
  <c r="Z43" i="69"/>
  <c r="P43" i="69"/>
  <c r="X43" i="69" s="1"/>
  <c r="N43" i="69"/>
  <c r="D43" i="69"/>
  <c r="L43" i="69" s="1"/>
  <c r="B43" i="69"/>
  <c r="Z42" i="69"/>
  <c r="P42" i="69"/>
  <c r="X42" i="69" s="1"/>
  <c r="N42" i="69"/>
  <c r="L42" i="69"/>
  <c r="D42" i="69"/>
  <c r="B42" i="69"/>
  <c r="Z41" i="69"/>
  <c r="P41" i="69"/>
  <c r="X41" i="69" s="1"/>
  <c r="N41" i="69"/>
  <c r="L41" i="69"/>
  <c r="D41" i="69"/>
  <c r="B41" i="69"/>
  <c r="Z40" i="69"/>
  <c r="P40" i="69"/>
  <c r="X40" i="69" s="1"/>
  <c r="N40" i="69"/>
  <c r="D40" i="69"/>
  <c r="L40" i="69" s="1"/>
  <c r="B40" i="69"/>
  <c r="Z39" i="69"/>
  <c r="X39" i="69"/>
  <c r="P39" i="69"/>
  <c r="N39" i="69"/>
  <c r="D39" i="69"/>
  <c r="L39" i="69" s="1"/>
  <c r="B39" i="69"/>
  <c r="Z38" i="69"/>
  <c r="X38" i="69"/>
  <c r="P38" i="69"/>
  <c r="N38" i="69"/>
  <c r="D38" i="69"/>
  <c r="L38" i="69" s="1"/>
  <c r="B38" i="69"/>
  <c r="Z37" i="69"/>
  <c r="P37" i="69"/>
  <c r="X37" i="69" s="1"/>
  <c r="N37" i="69"/>
  <c r="D37" i="69"/>
  <c r="L37" i="69" s="1"/>
  <c r="B37" i="69"/>
  <c r="Z36" i="69"/>
  <c r="X36" i="69"/>
  <c r="P36" i="69"/>
  <c r="N36" i="69"/>
  <c r="L36" i="69"/>
  <c r="D36" i="69"/>
  <c r="B36" i="69"/>
  <c r="Z35" i="69"/>
  <c r="X35" i="69"/>
  <c r="P35" i="69"/>
  <c r="N35" i="69"/>
  <c r="L35" i="69"/>
  <c r="D35" i="69"/>
  <c r="B35" i="69"/>
  <c r="Z34" i="69"/>
  <c r="P34" i="69"/>
  <c r="X34" i="69" s="1"/>
  <c r="N34" i="69"/>
  <c r="D34" i="69"/>
  <c r="L34" i="69" s="1"/>
  <c r="B34" i="69"/>
  <c r="Z33" i="69"/>
  <c r="X33" i="69"/>
  <c r="P33" i="69"/>
  <c r="N33" i="69"/>
  <c r="L33" i="69"/>
  <c r="D33" i="69"/>
  <c r="B33" i="69"/>
  <c r="Z32" i="69"/>
  <c r="X32" i="69"/>
  <c r="P32" i="69"/>
  <c r="N32" i="69"/>
  <c r="L32" i="69"/>
  <c r="D32" i="69"/>
  <c r="B32" i="69"/>
  <c r="Z31" i="69"/>
  <c r="P31" i="69"/>
  <c r="X31" i="69" s="1"/>
  <c r="N31" i="69"/>
  <c r="D31" i="69"/>
  <c r="L31" i="69" s="1"/>
  <c r="B31" i="69"/>
  <c r="Z30" i="69"/>
  <c r="P30" i="69"/>
  <c r="X30" i="69" s="1"/>
  <c r="N30" i="69"/>
  <c r="L30" i="69"/>
  <c r="D30" i="69"/>
  <c r="B30" i="69"/>
  <c r="Z29" i="69"/>
  <c r="P29" i="69"/>
  <c r="X29" i="69" s="1"/>
  <c r="N29" i="69"/>
  <c r="L29" i="69"/>
  <c r="D29" i="69"/>
  <c r="B29" i="69"/>
  <c r="Z28" i="69"/>
  <c r="P28" i="69"/>
  <c r="X28" i="69" s="1"/>
  <c r="N28" i="69"/>
  <c r="D28" i="69"/>
  <c r="L28" i="69" s="1"/>
  <c r="B28" i="69"/>
  <c r="Z27" i="69"/>
  <c r="X27" i="69"/>
  <c r="P27" i="69"/>
  <c r="N27" i="69"/>
  <c r="D27" i="69"/>
  <c r="L27" i="69" s="1"/>
  <c r="B27" i="69"/>
  <c r="Z26" i="69"/>
  <c r="X26" i="69"/>
  <c r="P26" i="69"/>
  <c r="N26" i="69"/>
  <c r="D26" i="69"/>
  <c r="L26" i="69" s="1"/>
  <c r="B26" i="69"/>
  <c r="Z25" i="69"/>
  <c r="P25" i="69"/>
  <c r="X25" i="69" s="1"/>
  <c r="N25" i="69"/>
  <c r="D25" i="69"/>
  <c r="L25" i="69" s="1"/>
  <c r="B25" i="69"/>
  <c r="Z24" i="69"/>
  <c r="X24" i="69"/>
  <c r="P24" i="69"/>
  <c r="N24" i="69"/>
  <c r="L24" i="69"/>
  <c r="D24" i="69"/>
  <c r="B24" i="69"/>
  <c r="Z23" i="69"/>
  <c r="X23" i="69"/>
  <c r="P23" i="69"/>
  <c r="N23" i="69"/>
  <c r="L23" i="69"/>
  <c r="D23" i="69"/>
  <c r="B23" i="69"/>
  <c r="Z22" i="69"/>
  <c r="P22" i="69"/>
  <c r="X22" i="69" s="1"/>
  <c r="N22" i="69"/>
  <c r="D22" i="69"/>
  <c r="L22" i="69" s="1"/>
  <c r="B22" i="69"/>
  <c r="Z21" i="69"/>
  <c r="X21" i="69"/>
  <c r="P21" i="69"/>
  <c r="N21" i="69"/>
  <c r="L21" i="69"/>
  <c r="D21" i="69"/>
  <c r="B21" i="69"/>
  <c r="Z20" i="69"/>
  <c r="X20" i="69"/>
  <c r="P20" i="69"/>
  <c r="N20" i="69"/>
  <c r="L20" i="69"/>
  <c r="D20" i="69"/>
  <c r="B20" i="69"/>
  <c r="Z19" i="69"/>
  <c r="P19" i="69"/>
  <c r="X19" i="69" s="1"/>
  <c r="N19" i="69"/>
  <c r="D19" i="69"/>
  <c r="L19" i="69" s="1"/>
  <c r="B19" i="69"/>
  <c r="Z18" i="69"/>
  <c r="P18" i="69"/>
  <c r="X18" i="69" s="1"/>
  <c r="N18" i="69"/>
  <c r="L18" i="69"/>
  <c r="D18" i="69"/>
  <c r="B18" i="69"/>
  <c r="Z17" i="69"/>
  <c r="P17" i="69"/>
  <c r="X17" i="69" s="1"/>
  <c r="N17" i="69"/>
  <c r="L17" i="69"/>
  <c r="D17" i="69"/>
  <c r="B17" i="69"/>
  <c r="Z16" i="69"/>
  <c r="P16" i="69"/>
  <c r="X16" i="69" s="1"/>
  <c r="N16" i="69"/>
  <c r="D16" i="69"/>
  <c r="L16" i="69" s="1"/>
  <c r="B16" i="69"/>
  <c r="Z15" i="69"/>
  <c r="X15" i="69"/>
  <c r="P15" i="69"/>
  <c r="N15" i="69"/>
  <c r="D15" i="69"/>
  <c r="L15" i="69" s="1"/>
  <c r="B15" i="69"/>
  <c r="Z14" i="69"/>
  <c r="X14" i="69"/>
  <c r="P14" i="69"/>
  <c r="N14" i="69"/>
  <c r="D14" i="69"/>
  <c r="L14" i="69" s="1"/>
  <c r="B14" i="69"/>
  <c r="P13" i="69"/>
  <c r="P12" i="69" s="1"/>
  <c r="R126" i="69" s="1"/>
  <c r="D13" i="69"/>
  <c r="B13" i="69"/>
  <c r="T12" i="69"/>
  <c r="V115" i="69" s="1"/>
  <c r="H12" i="69"/>
  <c r="J127" i="69" s="1"/>
  <c r="D6" i="69"/>
  <c r="D4" i="69"/>
  <c r="X76" i="67"/>
  <c r="Z76" i="67" s="1"/>
  <c r="L76" i="67"/>
  <c r="N76" i="67" s="1"/>
  <c r="T72" i="67"/>
  <c r="Z72" i="67" s="1"/>
  <c r="P72" i="67"/>
  <c r="X72" i="67" s="1"/>
  <c r="H72" i="67"/>
  <c r="N72" i="67" s="1"/>
  <c r="D72" i="67"/>
  <c r="L72" i="67" s="1"/>
  <c r="Z70" i="67"/>
  <c r="X70" i="67"/>
  <c r="N70" i="67"/>
  <c r="L70" i="67"/>
  <c r="B70" i="67"/>
  <c r="Z69" i="67"/>
  <c r="T69" i="67"/>
  <c r="P69" i="67"/>
  <c r="X69" i="67" s="1"/>
  <c r="N69" i="67"/>
  <c r="L69" i="67"/>
  <c r="J69" i="67"/>
  <c r="H69" i="67"/>
  <c r="D69" i="67"/>
  <c r="B69" i="67"/>
  <c r="Z68" i="67"/>
  <c r="X68" i="67"/>
  <c r="N68" i="67"/>
  <c r="L68" i="67"/>
  <c r="J68" i="67"/>
  <c r="B68" i="67"/>
  <c r="T67" i="67"/>
  <c r="P67" i="67"/>
  <c r="H67" i="67"/>
  <c r="F67" i="67"/>
  <c r="D67" i="67"/>
  <c r="B67" i="67"/>
  <c r="Z66" i="67"/>
  <c r="X66" i="67"/>
  <c r="N66" i="67"/>
  <c r="L66" i="67"/>
  <c r="J66" i="67"/>
  <c r="B66" i="67"/>
  <c r="Z65" i="67"/>
  <c r="X65" i="67"/>
  <c r="L65" i="67"/>
  <c r="N65" i="67" s="1"/>
  <c r="B65" i="67"/>
  <c r="T64" i="67"/>
  <c r="P64" i="67"/>
  <c r="H64" i="67"/>
  <c r="N64" i="67" s="1"/>
  <c r="D64" i="67"/>
  <c r="L64" i="67" s="1"/>
  <c r="B64" i="67"/>
  <c r="Z63" i="67"/>
  <c r="X63" i="67"/>
  <c r="V63" i="67"/>
  <c r="N63" i="67"/>
  <c r="L63" i="67"/>
  <c r="B63" i="67"/>
  <c r="X62" i="67"/>
  <c r="Z62" i="67" s="1"/>
  <c r="L62" i="67"/>
  <c r="N62" i="67" s="1"/>
  <c r="B62" i="67"/>
  <c r="Z61" i="67"/>
  <c r="X61" i="67"/>
  <c r="N61" i="67"/>
  <c r="L61" i="67"/>
  <c r="F61" i="67"/>
  <c r="B61" i="67"/>
  <c r="T60" i="67"/>
  <c r="P60" i="67"/>
  <c r="X60" i="67" s="1"/>
  <c r="J60" i="67"/>
  <c r="H60" i="67"/>
  <c r="D60" i="67"/>
  <c r="L60" i="67" s="1"/>
  <c r="B60" i="67"/>
  <c r="X59" i="67"/>
  <c r="Z59" i="67" s="1"/>
  <c r="N59" i="67"/>
  <c r="L59" i="67"/>
  <c r="B59" i="67"/>
  <c r="X58" i="67"/>
  <c r="Z58" i="67" s="1"/>
  <c r="T58" i="67"/>
  <c r="P58" i="67"/>
  <c r="N58" i="67"/>
  <c r="L58" i="67"/>
  <c r="H58" i="67"/>
  <c r="D58" i="67"/>
  <c r="B58" i="67"/>
  <c r="Z57" i="67"/>
  <c r="X57" i="67"/>
  <c r="L57" i="67"/>
  <c r="N57" i="67" s="1"/>
  <c r="B57" i="67"/>
  <c r="Z56" i="67"/>
  <c r="X56" i="67"/>
  <c r="N56" i="67"/>
  <c r="L56" i="67"/>
  <c r="B56" i="67"/>
  <c r="T55" i="67"/>
  <c r="Z55" i="67" s="1"/>
  <c r="P55" i="67"/>
  <c r="X55" i="67" s="1"/>
  <c r="H55" i="67"/>
  <c r="D55" i="67"/>
  <c r="L55" i="67" s="1"/>
  <c r="N55" i="67" s="1"/>
  <c r="B55" i="67"/>
  <c r="X54" i="67"/>
  <c r="Z54" i="67" s="1"/>
  <c r="N54" i="67"/>
  <c r="L54" i="67"/>
  <c r="B54" i="67"/>
  <c r="T53" i="67"/>
  <c r="P53" i="67"/>
  <c r="X53" i="67" s="1"/>
  <c r="Z53" i="67" s="1"/>
  <c r="N53" i="67"/>
  <c r="L53" i="67"/>
  <c r="J53" i="67"/>
  <c r="H53" i="67"/>
  <c r="D53" i="67"/>
  <c r="B53" i="67"/>
  <c r="Z52" i="67"/>
  <c r="X52" i="67"/>
  <c r="N52" i="67"/>
  <c r="L52" i="67"/>
  <c r="J52" i="67"/>
  <c r="F52" i="67"/>
  <c r="B52" i="67"/>
  <c r="T51" i="67"/>
  <c r="Z51" i="67" s="1"/>
  <c r="P51" i="67"/>
  <c r="H51" i="67"/>
  <c r="F51" i="67"/>
  <c r="D51" i="67"/>
  <c r="B51" i="67"/>
  <c r="X50" i="67"/>
  <c r="Z50" i="67" s="1"/>
  <c r="L50" i="67"/>
  <c r="N50" i="67" s="1"/>
  <c r="J50" i="67"/>
  <c r="B50" i="67"/>
  <c r="Z49" i="67"/>
  <c r="T49" i="67"/>
  <c r="P49" i="67"/>
  <c r="X49" i="67" s="1"/>
  <c r="H49" i="67"/>
  <c r="D49" i="67"/>
  <c r="L49" i="67" s="1"/>
  <c r="B49" i="67"/>
  <c r="X48" i="67"/>
  <c r="Z48" i="67" s="1"/>
  <c r="N48" i="67"/>
  <c r="L48" i="67"/>
  <c r="B48" i="67"/>
  <c r="X47" i="67"/>
  <c r="Z47" i="67" s="1"/>
  <c r="T47" i="67"/>
  <c r="P47" i="67"/>
  <c r="H47" i="67"/>
  <c r="D47" i="67"/>
  <c r="L47" i="67" s="1"/>
  <c r="N47" i="67" s="1"/>
  <c r="B47" i="67"/>
  <c r="Z46" i="67"/>
  <c r="X46" i="67"/>
  <c r="N46" i="67"/>
  <c r="L46" i="67"/>
  <c r="J46" i="67"/>
  <c r="B46" i="67"/>
  <c r="Z45" i="67"/>
  <c r="X45" i="67"/>
  <c r="N45" i="67"/>
  <c r="L45" i="67"/>
  <c r="B45" i="67"/>
  <c r="Z44" i="67"/>
  <c r="X44" i="67"/>
  <c r="N44" i="67"/>
  <c r="L44" i="67"/>
  <c r="J44" i="67"/>
  <c r="B44" i="67"/>
  <c r="Z43" i="67"/>
  <c r="X43" i="67"/>
  <c r="N43" i="67"/>
  <c r="L43" i="67"/>
  <c r="B43" i="67"/>
  <c r="Z42" i="67"/>
  <c r="X42" i="67"/>
  <c r="N42" i="67"/>
  <c r="L42" i="67"/>
  <c r="J42" i="67"/>
  <c r="B42" i="67"/>
  <c r="X41" i="67"/>
  <c r="Z41" i="67" s="1"/>
  <c r="N41" i="67"/>
  <c r="L41" i="67"/>
  <c r="B41" i="67"/>
  <c r="Z40" i="67"/>
  <c r="X40" i="67"/>
  <c r="N40" i="67"/>
  <c r="L40" i="67"/>
  <c r="J40" i="67"/>
  <c r="B40" i="67"/>
  <c r="Z39" i="67"/>
  <c r="X39" i="67"/>
  <c r="N39" i="67"/>
  <c r="L39" i="67"/>
  <c r="B39" i="67"/>
  <c r="Z38" i="67"/>
  <c r="X38" i="67"/>
  <c r="N38" i="67"/>
  <c r="L38" i="67"/>
  <c r="J38" i="67"/>
  <c r="B38" i="67"/>
  <c r="X37" i="67"/>
  <c r="Z37" i="67" s="1"/>
  <c r="N37" i="67"/>
  <c r="L37" i="67"/>
  <c r="B37" i="67"/>
  <c r="T36" i="67"/>
  <c r="P36" i="67"/>
  <c r="X36" i="67" s="1"/>
  <c r="Z36" i="67" s="1"/>
  <c r="L36" i="67"/>
  <c r="N36" i="67" s="1"/>
  <c r="H36" i="67"/>
  <c r="D36" i="67"/>
  <c r="B36" i="67"/>
  <c r="Z35" i="67"/>
  <c r="X35" i="67"/>
  <c r="L35" i="67"/>
  <c r="N35" i="67" s="1"/>
  <c r="J35" i="67"/>
  <c r="B35" i="67"/>
  <c r="X34" i="67"/>
  <c r="Z34" i="67" s="1"/>
  <c r="L34" i="67"/>
  <c r="N34" i="67" s="1"/>
  <c r="J34" i="67"/>
  <c r="B34" i="67"/>
  <c r="Z33" i="67"/>
  <c r="X33" i="67"/>
  <c r="L33" i="67"/>
  <c r="N33" i="67" s="1"/>
  <c r="B33" i="67"/>
  <c r="Z32" i="67"/>
  <c r="X32" i="67"/>
  <c r="N32" i="67"/>
  <c r="L32" i="67"/>
  <c r="B32" i="67"/>
  <c r="Z31" i="67"/>
  <c r="X31" i="67"/>
  <c r="L31" i="67"/>
  <c r="N31" i="67" s="1"/>
  <c r="J31" i="67"/>
  <c r="B31" i="67"/>
  <c r="X30" i="67"/>
  <c r="Z30" i="67" s="1"/>
  <c r="L30" i="67"/>
  <c r="N30" i="67" s="1"/>
  <c r="J30" i="67"/>
  <c r="B30" i="67"/>
  <c r="Z29" i="67"/>
  <c r="X29" i="67"/>
  <c r="L29" i="67"/>
  <c r="N29" i="67" s="1"/>
  <c r="B29" i="67"/>
  <c r="Z28" i="67"/>
  <c r="X28" i="67"/>
  <c r="L28" i="67"/>
  <c r="N28" i="67" s="1"/>
  <c r="B28" i="67"/>
  <c r="Z27" i="67"/>
  <c r="X27" i="67"/>
  <c r="L27" i="67"/>
  <c r="N27" i="67" s="1"/>
  <c r="J27" i="67"/>
  <c r="B27" i="67"/>
  <c r="T26" i="67"/>
  <c r="P26" i="67"/>
  <c r="X26" i="67" s="1"/>
  <c r="J26" i="67"/>
  <c r="H26" i="67"/>
  <c r="D26" i="67"/>
  <c r="B26" i="67"/>
  <c r="T25" i="67"/>
  <c r="P25" i="67"/>
  <c r="X25" i="67" s="1"/>
  <c r="Z25" i="67" s="1"/>
  <c r="L25" i="67"/>
  <c r="N25" i="67" s="1"/>
  <c r="J25" i="67"/>
  <c r="H25" i="67"/>
  <c r="D25" i="67"/>
  <c r="Z21" i="67"/>
  <c r="X21" i="67"/>
  <c r="N21" i="67"/>
  <c r="L21" i="67"/>
  <c r="J21" i="67"/>
  <c r="F21" i="67"/>
  <c r="B21" i="67"/>
  <c r="X20" i="67"/>
  <c r="Z20" i="67" s="1"/>
  <c r="N20" i="67"/>
  <c r="L20" i="67"/>
  <c r="B20" i="67"/>
  <c r="X19" i="67"/>
  <c r="Z19" i="67" s="1"/>
  <c r="T19" i="67"/>
  <c r="P19" i="67"/>
  <c r="H19" i="67"/>
  <c r="D19" i="67"/>
  <c r="L19" i="67" s="1"/>
  <c r="N19" i="67" s="1"/>
  <c r="Z17" i="67"/>
  <c r="X17" i="67"/>
  <c r="P17" i="67"/>
  <c r="N17" i="67"/>
  <c r="D17" i="67"/>
  <c r="L17" i="67" s="1"/>
  <c r="B17" i="67"/>
  <c r="Z16" i="67"/>
  <c r="X16" i="67"/>
  <c r="P16" i="67"/>
  <c r="N16" i="67"/>
  <c r="L16" i="67"/>
  <c r="D16" i="67"/>
  <c r="B16" i="67"/>
  <c r="Z15" i="67"/>
  <c r="P15" i="67"/>
  <c r="X15" i="67" s="1"/>
  <c r="N15" i="67"/>
  <c r="D15" i="67"/>
  <c r="L15" i="67" s="1"/>
  <c r="B15" i="67"/>
  <c r="P14" i="67"/>
  <c r="X14" i="67" s="1"/>
  <c r="Z14" i="67" s="1"/>
  <c r="L14" i="67"/>
  <c r="N14" i="67" s="1"/>
  <c r="D14" i="67"/>
  <c r="D12" i="67" s="1"/>
  <c r="F60" i="67" s="1"/>
  <c r="B14" i="67"/>
  <c r="Z13" i="67"/>
  <c r="P13" i="67"/>
  <c r="X13" i="67" s="1"/>
  <c r="N13" i="67"/>
  <c r="L13" i="67"/>
  <c r="D13" i="67"/>
  <c r="B13" i="67"/>
  <c r="T12" i="67"/>
  <c r="V64" i="67" s="1"/>
  <c r="P12" i="67"/>
  <c r="H12" i="67"/>
  <c r="J55" i="67" s="1"/>
  <c r="D6" i="67"/>
  <c r="D4" i="67"/>
  <c r="X121" i="66"/>
  <c r="Z121" i="66" s="1"/>
  <c r="L121" i="66"/>
  <c r="N121" i="66" s="1"/>
  <c r="Z117" i="66"/>
  <c r="X117" i="66"/>
  <c r="P117" i="66"/>
  <c r="N117" i="66"/>
  <c r="D117" i="66"/>
  <c r="L117" i="66" s="1"/>
  <c r="B117" i="66"/>
  <c r="P116" i="66"/>
  <c r="X116" i="66" s="1"/>
  <c r="Z116" i="66" s="1"/>
  <c r="N116" i="66"/>
  <c r="J116" i="66"/>
  <c r="D116" i="66"/>
  <c r="L116" i="66" s="1"/>
  <c r="B116" i="66"/>
  <c r="P115" i="66"/>
  <c r="X115" i="66" s="1"/>
  <c r="Z115" i="66" s="1"/>
  <c r="D115" i="66"/>
  <c r="L115" i="66" s="1"/>
  <c r="N115" i="66" s="1"/>
  <c r="B115" i="66"/>
  <c r="T114" i="66"/>
  <c r="P114" i="66"/>
  <c r="X114" i="66" s="1"/>
  <c r="Z114" i="66" s="1"/>
  <c r="H114" i="66"/>
  <c r="Z112" i="66"/>
  <c r="X112" i="66"/>
  <c r="N112" i="66"/>
  <c r="L112" i="66"/>
  <c r="B112" i="66"/>
  <c r="T111" i="66"/>
  <c r="P111" i="66"/>
  <c r="H111" i="66"/>
  <c r="N111" i="66" s="1"/>
  <c r="D111" i="66"/>
  <c r="L111" i="66" s="1"/>
  <c r="B111" i="66"/>
  <c r="X110" i="66"/>
  <c r="Z110" i="66" s="1"/>
  <c r="N110" i="66"/>
  <c r="L110" i="66"/>
  <c r="B110" i="66"/>
  <c r="T109" i="66"/>
  <c r="Z109" i="66" s="1"/>
  <c r="P109" i="66"/>
  <c r="X109" i="66" s="1"/>
  <c r="H109" i="66"/>
  <c r="N109" i="66" s="1"/>
  <c r="D109" i="66"/>
  <c r="L109" i="66" s="1"/>
  <c r="B109" i="66"/>
  <c r="X108" i="66"/>
  <c r="Z108" i="66" s="1"/>
  <c r="N108" i="66"/>
  <c r="L108" i="66"/>
  <c r="B108" i="66"/>
  <c r="Z107" i="66"/>
  <c r="X107" i="66"/>
  <c r="N107" i="66"/>
  <c r="L107" i="66"/>
  <c r="J107" i="66"/>
  <c r="B107" i="66"/>
  <c r="T106" i="66"/>
  <c r="P106" i="66"/>
  <c r="H106" i="66"/>
  <c r="D106" i="66"/>
  <c r="B106" i="66"/>
  <c r="X105" i="66"/>
  <c r="Z105" i="66" s="1"/>
  <c r="L105" i="66"/>
  <c r="N105" i="66" s="1"/>
  <c r="J105" i="66"/>
  <c r="B105" i="66"/>
  <c r="Z104" i="66"/>
  <c r="X104" i="66"/>
  <c r="L104" i="66"/>
  <c r="N104" i="66" s="1"/>
  <c r="B104" i="66"/>
  <c r="Z103" i="66"/>
  <c r="X103" i="66"/>
  <c r="L103" i="66"/>
  <c r="N103" i="66" s="1"/>
  <c r="B103" i="66"/>
  <c r="T102" i="66"/>
  <c r="P102" i="66"/>
  <c r="X102" i="66" s="1"/>
  <c r="N102" i="66"/>
  <c r="H102" i="66"/>
  <c r="D102" i="66"/>
  <c r="L102" i="66" s="1"/>
  <c r="B102" i="66"/>
  <c r="X101" i="66"/>
  <c r="Z101" i="66" s="1"/>
  <c r="N101" i="66"/>
  <c r="L101" i="66"/>
  <c r="B101" i="66"/>
  <c r="X100" i="66"/>
  <c r="Z100" i="66" s="1"/>
  <c r="L100" i="66"/>
  <c r="N100" i="66" s="1"/>
  <c r="B100" i="66"/>
  <c r="T99" i="66"/>
  <c r="Z99" i="66" s="1"/>
  <c r="P99" i="66"/>
  <c r="X99" i="66" s="1"/>
  <c r="J99" i="66"/>
  <c r="H99" i="66"/>
  <c r="D99" i="66"/>
  <c r="L99" i="66" s="1"/>
  <c r="B99" i="66"/>
  <c r="X98" i="66"/>
  <c r="Z98" i="66" s="1"/>
  <c r="N98" i="66"/>
  <c r="L98" i="66"/>
  <c r="B98" i="66"/>
  <c r="X97" i="66"/>
  <c r="Z97" i="66" s="1"/>
  <c r="L97" i="66"/>
  <c r="N97" i="66" s="1"/>
  <c r="J97" i="66"/>
  <c r="B97" i="66"/>
  <c r="T96" i="66"/>
  <c r="P96" i="66"/>
  <c r="H96" i="66"/>
  <c r="D96" i="66"/>
  <c r="B96" i="66"/>
  <c r="Z95" i="66"/>
  <c r="X95" i="66"/>
  <c r="L95" i="66"/>
  <c r="N95" i="66" s="1"/>
  <c r="B95" i="66"/>
  <c r="T94" i="66"/>
  <c r="P94" i="66"/>
  <c r="X94" i="66" s="1"/>
  <c r="H94" i="66"/>
  <c r="D94" i="66"/>
  <c r="L94" i="66" s="1"/>
  <c r="N94" i="66" s="1"/>
  <c r="B94" i="66"/>
  <c r="Z93" i="66"/>
  <c r="X93" i="66"/>
  <c r="N93" i="66"/>
  <c r="L93" i="66"/>
  <c r="B93" i="66"/>
  <c r="X92" i="66"/>
  <c r="Z92" i="66" s="1"/>
  <c r="N92" i="66"/>
  <c r="L92" i="66"/>
  <c r="B92" i="66"/>
  <c r="T91" i="66"/>
  <c r="Z91" i="66" s="1"/>
  <c r="P91" i="66"/>
  <c r="X91" i="66" s="1"/>
  <c r="J91" i="66"/>
  <c r="H91" i="66"/>
  <c r="N91" i="66" s="1"/>
  <c r="D91" i="66"/>
  <c r="L91" i="66" s="1"/>
  <c r="B91" i="66"/>
  <c r="Z90" i="66"/>
  <c r="X90" i="66"/>
  <c r="N90" i="66"/>
  <c r="L90" i="66"/>
  <c r="B90" i="66"/>
  <c r="Z89" i="66"/>
  <c r="X89" i="66"/>
  <c r="L89" i="66"/>
  <c r="N89" i="66" s="1"/>
  <c r="J89" i="66"/>
  <c r="B89" i="66"/>
  <c r="X88" i="66"/>
  <c r="T88" i="66"/>
  <c r="P88" i="66"/>
  <c r="H88" i="66"/>
  <c r="D88" i="66"/>
  <c r="B88" i="66"/>
  <c r="Z87" i="66"/>
  <c r="X87" i="66"/>
  <c r="L87" i="66"/>
  <c r="N87" i="66" s="1"/>
  <c r="B87" i="66"/>
  <c r="T86" i="66"/>
  <c r="P86" i="66"/>
  <c r="H86" i="66"/>
  <c r="D86" i="66"/>
  <c r="L86" i="66" s="1"/>
  <c r="N86" i="66" s="1"/>
  <c r="B86" i="66"/>
  <c r="X85" i="66"/>
  <c r="Z85" i="66" s="1"/>
  <c r="L85" i="66"/>
  <c r="N85" i="66" s="1"/>
  <c r="B85" i="66"/>
  <c r="T84" i="66"/>
  <c r="P84" i="66"/>
  <c r="X84" i="66" s="1"/>
  <c r="Z84" i="66" s="1"/>
  <c r="L84" i="66"/>
  <c r="N84" i="66" s="1"/>
  <c r="J84" i="66"/>
  <c r="H84" i="66"/>
  <c r="D84" i="66"/>
  <c r="B84" i="66"/>
  <c r="Z83" i="66"/>
  <c r="X83" i="66"/>
  <c r="N83" i="66"/>
  <c r="L83" i="66"/>
  <c r="J83" i="66"/>
  <c r="B83" i="66"/>
  <c r="X82" i="66"/>
  <c r="Z82" i="66" s="1"/>
  <c r="N82" i="66"/>
  <c r="L82" i="66"/>
  <c r="B82" i="66"/>
  <c r="Z81" i="66"/>
  <c r="X81" i="66"/>
  <c r="T81" i="66"/>
  <c r="P81" i="66"/>
  <c r="H81" i="66"/>
  <c r="D81" i="66"/>
  <c r="L81" i="66" s="1"/>
  <c r="N81" i="66" s="1"/>
  <c r="B81" i="66"/>
  <c r="Z80" i="66"/>
  <c r="X80" i="66"/>
  <c r="L80" i="66"/>
  <c r="N80" i="66" s="1"/>
  <c r="B80" i="66"/>
  <c r="T79" i="66"/>
  <c r="X79" i="66" s="1"/>
  <c r="P79" i="66"/>
  <c r="J79" i="66"/>
  <c r="H79" i="66"/>
  <c r="N79" i="66" s="1"/>
  <c r="D79" i="66"/>
  <c r="L79" i="66" s="1"/>
  <c r="B79" i="66"/>
  <c r="Z78" i="66"/>
  <c r="X78" i="66"/>
  <c r="V78" i="66"/>
  <c r="N78" i="66"/>
  <c r="L78" i="66"/>
  <c r="B78" i="66"/>
  <c r="Z77" i="66"/>
  <c r="X77" i="66"/>
  <c r="N77" i="66"/>
  <c r="L77" i="66"/>
  <c r="B77" i="66"/>
  <c r="X76" i="66"/>
  <c r="Z76" i="66" s="1"/>
  <c r="L76" i="66"/>
  <c r="N76" i="66" s="1"/>
  <c r="J76" i="66"/>
  <c r="B76" i="66"/>
  <c r="X75" i="66"/>
  <c r="Z75" i="66" s="1"/>
  <c r="N75" i="66"/>
  <c r="L75" i="66"/>
  <c r="B75" i="66"/>
  <c r="Z74" i="66"/>
  <c r="X74" i="66"/>
  <c r="N74" i="66"/>
  <c r="L74" i="66"/>
  <c r="B74" i="66"/>
  <c r="X73" i="66"/>
  <c r="Z73" i="66" s="1"/>
  <c r="L73" i="66"/>
  <c r="N73" i="66" s="1"/>
  <c r="B73" i="66"/>
  <c r="X72" i="66"/>
  <c r="Z72" i="66" s="1"/>
  <c r="L72" i="66"/>
  <c r="N72" i="66" s="1"/>
  <c r="J72" i="66"/>
  <c r="B72" i="66"/>
  <c r="Z71" i="66"/>
  <c r="X71" i="66"/>
  <c r="N71" i="66"/>
  <c r="L71" i="66"/>
  <c r="B71" i="66"/>
  <c r="X70" i="66"/>
  <c r="Z70" i="66" s="1"/>
  <c r="L70" i="66"/>
  <c r="N70" i="66" s="1"/>
  <c r="B70" i="66"/>
  <c r="Z69" i="66"/>
  <c r="X69" i="66"/>
  <c r="V69" i="66"/>
  <c r="N69" i="66"/>
  <c r="L69" i="66"/>
  <c r="B69" i="66"/>
  <c r="T68" i="66"/>
  <c r="P68" i="66"/>
  <c r="X68" i="66" s="1"/>
  <c r="Z68" i="66" s="1"/>
  <c r="L68" i="66"/>
  <c r="N68" i="66" s="1"/>
  <c r="J68" i="66"/>
  <c r="H68" i="66"/>
  <c r="D68" i="66"/>
  <c r="B68" i="66"/>
  <c r="Z67" i="66"/>
  <c r="X67" i="66"/>
  <c r="N67" i="66"/>
  <c r="L67" i="66"/>
  <c r="J67" i="66"/>
  <c r="B67" i="66"/>
  <c r="X66" i="66"/>
  <c r="Z66" i="66" s="1"/>
  <c r="N66" i="66"/>
  <c r="L66" i="66"/>
  <c r="B66" i="66"/>
  <c r="X65" i="66"/>
  <c r="Z65" i="66" s="1"/>
  <c r="N65" i="66"/>
  <c r="L65" i="66"/>
  <c r="J65" i="66"/>
  <c r="B65" i="66"/>
  <c r="Z64" i="66"/>
  <c r="X64" i="66"/>
  <c r="N64" i="66"/>
  <c r="L64" i="66"/>
  <c r="B64" i="66"/>
  <c r="Z63" i="66"/>
  <c r="X63" i="66"/>
  <c r="N63" i="66"/>
  <c r="L63" i="66"/>
  <c r="J63" i="66"/>
  <c r="B63" i="66"/>
  <c r="X62" i="66"/>
  <c r="Z62" i="66" s="1"/>
  <c r="N62" i="66"/>
  <c r="L62" i="66"/>
  <c r="B62" i="66"/>
  <c r="X61" i="66"/>
  <c r="Z61" i="66" s="1"/>
  <c r="N61" i="66"/>
  <c r="L61" i="66"/>
  <c r="J61" i="66"/>
  <c r="B61" i="66"/>
  <c r="X60" i="66"/>
  <c r="Z60" i="66" s="1"/>
  <c r="N60" i="66"/>
  <c r="L60" i="66"/>
  <c r="B60" i="66"/>
  <c r="Z59" i="66"/>
  <c r="X59" i="66"/>
  <c r="N59" i="66"/>
  <c r="L59" i="66"/>
  <c r="J59" i="66"/>
  <c r="B59" i="66"/>
  <c r="X58" i="66"/>
  <c r="Z58" i="66" s="1"/>
  <c r="N58" i="66"/>
  <c r="L58" i="66"/>
  <c r="B58" i="66"/>
  <c r="Z57" i="66"/>
  <c r="X57" i="66"/>
  <c r="T57" i="66"/>
  <c r="P57" i="66"/>
  <c r="H57" i="66"/>
  <c r="D57" i="66"/>
  <c r="L57" i="66" s="1"/>
  <c r="N57" i="66" s="1"/>
  <c r="B57" i="66"/>
  <c r="T56" i="66"/>
  <c r="P56" i="66"/>
  <c r="X56" i="66" s="1"/>
  <c r="Z56" i="66" s="1"/>
  <c r="H56" i="66"/>
  <c r="D56" i="66"/>
  <c r="Z52" i="66"/>
  <c r="X52" i="66"/>
  <c r="N52" i="66"/>
  <c r="L52" i="66"/>
  <c r="B52" i="66"/>
  <c r="Z51" i="66"/>
  <c r="X51" i="66"/>
  <c r="V51" i="66"/>
  <c r="N51" i="66"/>
  <c r="L51" i="66"/>
  <c r="J51" i="66"/>
  <c r="B51" i="66"/>
  <c r="Z50" i="66"/>
  <c r="X50" i="66"/>
  <c r="N50" i="66"/>
  <c r="L50" i="66"/>
  <c r="J50" i="66"/>
  <c r="B50" i="66"/>
  <c r="Z49" i="66"/>
  <c r="X49" i="66"/>
  <c r="V49" i="66"/>
  <c r="N49" i="66"/>
  <c r="L49" i="66"/>
  <c r="J49" i="66"/>
  <c r="B49" i="66"/>
  <c r="Z48" i="66"/>
  <c r="X48" i="66"/>
  <c r="N48" i="66"/>
  <c r="L48" i="66"/>
  <c r="B48" i="66"/>
  <c r="Z47" i="66"/>
  <c r="X47" i="66"/>
  <c r="V47" i="66"/>
  <c r="N47" i="66"/>
  <c r="L47" i="66"/>
  <c r="J47" i="66"/>
  <c r="B47" i="66"/>
  <c r="Z46" i="66"/>
  <c r="X46" i="66"/>
  <c r="N46" i="66"/>
  <c r="L46" i="66"/>
  <c r="J46" i="66"/>
  <c r="B46" i="66"/>
  <c r="Z45" i="66"/>
  <c r="X45" i="66"/>
  <c r="N45" i="66"/>
  <c r="L45" i="66"/>
  <c r="J45" i="66"/>
  <c r="B45" i="66"/>
  <c r="Z44" i="66"/>
  <c r="X44" i="66"/>
  <c r="N44" i="66"/>
  <c r="L44" i="66"/>
  <c r="B44" i="66"/>
  <c r="Z43" i="66"/>
  <c r="X43" i="66"/>
  <c r="N43" i="66"/>
  <c r="L43" i="66"/>
  <c r="J43" i="66"/>
  <c r="B43" i="66"/>
  <c r="Z42" i="66"/>
  <c r="X42" i="66"/>
  <c r="N42" i="66"/>
  <c r="L42" i="66"/>
  <c r="J42" i="66"/>
  <c r="B42" i="66"/>
  <c r="Z41" i="66"/>
  <c r="X41" i="66"/>
  <c r="V41" i="66"/>
  <c r="N41" i="66"/>
  <c r="L41" i="66"/>
  <c r="J41" i="66"/>
  <c r="B41" i="66"/>
  <c r="Z40" i="66"/>
  <c r="X40" i="66"/>
  <c r="N40" i="66"/>
  <c r="L40" i="66"/>
  <c r="J40" i="66"/>
  <c r="B40" i="66"/>
  <c r="Z39" i="66"/>
  <c r="X39" i="66"/>
  <c r="N39" i="66"/>
  <c r="L39" i="66"/>
  <c r="J39" i="66"/>
  <c r="B39" i="66"/>
  <c r="Z38" i="66"/>
  <c r="X38" i="66"/>
  <c r="N38" i="66"/>
  <c r="L38" i="66"/>
  <c r="J38" i="66"/>
  <c r="B38" i="66"/>
  <c r="Z37" i="66"/>
  <c r="X37" i="66"/>
  <c r="V37" i="66"/>
  <c r="L37" i="66"/>
  <c r="N37" i="66" s="1"/>
  <c r="J37" i="66"/>
  <c r="B37" i="66"/>
  <c r="T36" i="66"/>
  <c r="P36" i="66"/>
  <c r="X36" i="66" s="1"/>
  <c r="Z36" i="66" s="1"/>
  <c r="H36" i="66"/>
  <c r="H54" i="66" s="1"/>
  <c r="D36" i="66"/>
  <c r="L36" i="66" s="1"/>
  <c r="Z34" i="66"/>
  <c r="P34" i="66"/>
  <c r="X34" i="66" s="1"/>
  <c r="N34" i="66"/>
  <c r="D34" i="66"/>
  <c r="L34" i="66" s="1"/>
  <c r="B34" i="66"/>
  <c r="Z33" i="66"/>
  <c r="P33" i="66"/>
  <c r="X33" i="66" s="1"/>
  <c r="N33" i="66"/>
  <c r="L33" i="66"/>
  <c r="D33" i="66"/>
  <c r="B33" i="66"/>
  <c r="Z32" i="66"/>
  <c r="X32" i="66"/>
  <c r="P32" i="66"/>
  <c r="N32" i="66"/>
  <c r="L32" i="66"/>
  <c r="D32" i="66"/>
  <c r="B32" i="66"/>
  <c r="Z31" i="66"/>
  <c r="P31" i="66"/>
  <c r="X31" i="66" s="1"/>
  <c r="N31" i="66"/>
  <c r="D31" i="66"/>
  <c r="L31" i="66" s="1"/>
  <c r="B31" i="66"/>
  <c r="Z30" i="66"/>
  <c r="X30" i="66"/>
  <c r="P30" i="66"/>
  <c r="N30" i="66"/>
  <c r="D30" i="66"/>
  <c r="L30" i="66" s="1"/>
  <c r="B30" i="66"/>
  <c r="Z29" i="66"/>
  <c r="X29" i="66"/>
  <c r="P29" i="66"/>
  <c r="N29" i="66"/>
  <c r="L29" i="66"/>
  <c r="D29" i="66"/>
  <c r="B29" i="66"/>
  <c r="Z28" i="66"/>
  <c r="P28" i="66"/>
  <c r="X28" i="66" s="1"/>
  <c r="N28" i="66"/>
  <c r="D28" i="66"/>
  <c r="L28" i="66" s="1"/>
  <c r="B28" i="66"/>
  <c r="Z27" i="66"/>
  <c r="P27" i="66"/>
  <c r="X27" i="66" s="1"/>
  <c r="N27" i="66"/>
  <c r="L27" i="66"/>
  <c r="D27" i="66"/>
  <c r="B27" i="66"/>
  <c r="Z26" i="66"/>
  <c r="X26" i="66"/>
  <c r="P26" i="66"/>
  <c r="N26" i="66"/>
  <c r="L26" i="66"/>
  <c r="D26" i="66"/>
  <c r="B26" i="66"/>
  <c r="Z25" i="66"/>
  <c r="P25" i="66"/>
  <c r="X25" i="66" s="1"/>
  <c r="N25" i="66"/>
  <c r="D25" i="66"/>
  <c r="L25" i="66" s="1"/>
  <c r="B25" i="66"/>
  <c r="Z24" i="66"/>
  <c r="X24" i="66"/>
  <c r="P24" i="66"/>
  <c r="N24" i="66"/>
  <c r="D24" i="66"/>
  <c r="L24" i="66" s="1"/>
  <c r="B24" i="66"/>
  <c r="Z23" i="66"/>
  <c r="X23" i="66"/>
  <c r="P23" i="66"/>
  <c r="N23" i="66"/>
  <c r="L23" i="66"/>
  <c r="D23" i="66"/>
  <c r="B23" i="66"/>
  <c r="Z22" i="66"/>
  <c r="P22" i="66"/>
  <c r="X22" i="66" s="1"/>
  <c r="N22" i="66"/>
  <c r="D22" i="66"/>
  <c r="L22" i="66" s="1"/>
  <c r="B22" i="66"/>
  <c r="Z21" i="66"/>
  <c r="P21" i="66"/>
  <c r="X21" i="66" s="1"/>
  <c r="N21" i="66"/>
  <c r="D21" i="66"/>
  <c r="L21" i="66" s="1"/>
  <c r="B21" i="66"/>
  <c r="Z20" i="66"/>
  <c r="X20" i="66"/>
  <c r="P20" i="66"/>
  <c r="N20" i="66"/>
  <c r="L20" i="66"/>
  <c r="D20" i="66"/>
  <c r="B20" i="66"/>
  <c r="Z19" i="66"/>
  <c r="X19" i="66"/>
  <c r="P19" i="66"/>
  <c r="N19" i="66"/>
  <c r="D19" i="66"/>
  <c r="L19" i="66" s="1"/>
  <c r="B19" i="66"/>
  <c r="Z18" i="66"/>
  <c r="X18" i="66"/>
  <c r="P18" i="66"/>
  <c r="N18" i="66"/>
  <c r="D18" i="66"/>
  <c r="L18" i="66" s="1"/>
  <c r="B18" i="66"/>
  <c r="Z17" i="66"/>
  <c r="X17" i="66"/>
  <c r="P17" i="66"/>
  <c r="N17" i="66"/>
  <c r="L17" i="66"/>
  <c r="D17" i="66"/>
  <c r="B17" i="66"/>
  <c r="Z16" i="66"/>
  <c r="P16" i="66"/>
  <c r="X16" i="66" s="1"/>
  <c r="N16" i="66"/>
  <c r="D16" i="66"/>
  <c r="D12" i="66" s="1"/>
  <c r="B16" i="66"/>
  <c r="Z15" i="66"/>
  <c r="P15" i="66"/>
  <c r="X15" i="66" s="1"/>
  <c r="N15" i="66"/>
  <c r="L15" i="66"/>
  <c r="D15" i="66"/>
  <c r="B15" i="66"/>
  <c r="Z14" i="66"/>
  <c r="P14" i="66"/>
  <c r="X14" i="66" s="1"/>
  <c r="N14" i="66"/>
  <c r="L14" i="66"/>
  <c r="D14" i="66"/>
  <c r="B14" i="66"/>
  <c r="P13" i="66"/>
  <c r="D13" i="66"/>
  <c r="L13" i="66" s="1"/>
  <c r="N13" i="66" s="1"/>
  <c r="B13" i="66"/>
  <c r="T12" i="66"/>
  <c r="H12" i="66"/>
  <c r="J108" i="66" s="1"/>
  <c r="D6" i="66"/>
  <c r="D4" i="66"/>
  <c r="Z68" i="65"/>
  <c r="X68" i="65"/>
  <c r="N68" i="65"/>
  <c r="L68" i="65"/>
  <c r="J66" i="65"/>
  <c r="Z64" i="65"/>
  <c r="T64" i="65"/>
  <c r="P64" i="65"/>
  <c r="X64" i="65" s="1"/>
  <c r="N64" i="65"/>
  <c r="L64" i="65"/>
  <c r="J64" i="65"/>
  <c r="H64" i="65"/>
  <c r="D64" i="65"/>
  <c r="Z62" i="65"/>
  <c r="X62" i="65"/>
  <c r="N62" i="65"/>
  <c r="L62" i="65"/>
  <c r="J62" i="65"/>
  <c r="B62" i="65"/>
  <c r="T61" i="65"/>
  <c r="Z61" i="65" s="1"/>
  <c r="P61" i="65"/>
  <c r="X61" i="65" s="1"/>
  <c r="J61" i="65"/>
  <c r="H61" i="65"/>
  <c r="N61" i="65" s="1"/>
  <c r="F61" i="65"/>
  <c r="D61" i="65"/>
  <c r="B61" i="65"/>
  <c r="Z60" i="65"/>
  <c r="X60" i="65"/>
  <c r="N60" i="65"/>
  <c r="L60" i="65"/>
  <c r="B60" i="65"/>
  <c r="Z59" i="65"/>
  <c r="X59" i="65"/>
  <c r="N59" i="65"/>
  <c r="L59" i="65"/>
  <c r="J59" i="65"/>
  <c r="B59" i="65"/>
  <c r="Z58" i="65"/>
  <c r="X58" i="65"/>
  <c r="N58" i="65"/>
  <c r="L58" i="65"/>
  <c r="B58" i="65"/>
  <c r="Z57" i="65"/>
  <c r="T57" i="65"/>
  <c r="P57" i="65"/>
  <c r="X57" i="65" s="1"/>
  <c r="N57" i="65"/>
  <c r="L57" i="65"/>
  <c r="H57" i="65"/>
  <c r="D57" i="65"/>
  <c r="B57" i="65"/>
  <c r="Z56" i="65"/>
  <c r="X56" i="65"/>
  <c r="N56" i="65"/>
  <c r="L56" i="65"/>
  <c r="J56" i="65"/>
  <c r="B56" i="65"/>
  <c r="Z55" i="65"/>
  <c r="X55" i="65"/>
  <c r="N55" i="65"/>
  <c r="L55" i="65"/>
  <c r="J55" i="65"/>
  <c r="F55" i="65"/>
  <c r="B55" i="65"/>
  <c r="Z54" i="65"/>
  <c r="T54" i="65"/>
  <c r="P54" i="65"/>
  <c r="X54" i="65" s="1"/>
  <c r="H54" i="65"/>
  <c r="N54" i="65" s="1"/>
  <c r="D54" i="65"/>
  <c r="L54" i="65" s="1"/>
  <c r="B54" i="65"/>
  <c r="Z53" i="65"/>
  <c r="X53" i="65"/>
  <c r="N53" i="65"/>
  <c r="L53" i="65"/>
  <c r="B53" i="65"/>
  <c r="Z52" i="65"/>
  <c r="X52" i="65"/>
  <c r="N52" i="65"/>
  <c r="L52" i="65"/>
  <c r="B52" i="65"/>
  <c r="T51" i="65"/>
  <c r="Z51" i="65" s="1"/>
  <c r="P51" i="65"/>
  <c r="X51" i="65" s="1"/>
  <c r="J51" i="65"/>
  <c r="H51" i="65"/>
  <c r="N51" i="65" s="1"/>
  <c r="F51" i="65"/>
  <c r="D51" i="65"/>
  <c r="L51" i="65" s="1"/>
  <c r="B51" i="65"/>
  <c r="Z50" i="65"/>
  <c r="X50" i="65"/>
  <c r="N50" i="65"/>
  <c r="L50" i="65"/>
  <c r="B50" i="65"/>
  <c r="Z49" i="65"/>
  <c r="T49" i="65"/>
  <c r="P49" i="65"/>
  <c r="X49" i="65" s="1"/>
  <c r="N49" i="65"/>
  <c r="L49" i="65"/>
  <c r="H49" i="65"/>
  <c r="D49" i="65"/>
  <c r="B49" i="65"/>
  <c r="Z48" i="65"/>
  <c r="X48" i="65"/>
  <c r="N48" i="65"/>
  <c r="L48" i="65"/>
  <c r="J48" i="65"/>
  <c r="B48" i="65"/>
  <c r="Z47" i="65"/>
  <c r="T47" i="65"/>
  <c r="P47" i="65"/>
  <c r="X47" i="65" s="1"/>
  <c r="J47" i="65"/>
  <c r="H47" i="65"/>
  <c r="N47" i="65" s="1"/>
  <c r="D47" i="65"/>
  <c r="B47" i="65"/>
  <c r="Z46" i="65"/>
  <c r="X46" i="65"/>
  <c r="N46" i="65"/>
  <c r="L46" i="65"/>
  <c r="J46" i="65"/>
  <c r="F46" i="65"/>
  <c r="B46" i="65"/>
  <c r="T45" i="65"/>
  <c r="Z45" i="65" s="1"/>
  <c r="P45" i="65"/>
  <c r="X45" i="65" s="1"/>
  <c r="J45" i="65"/>
  <c r="H45" i="65"/>
  <c r="N45" i="65" s="1"/>
  <c r="F45" i="65"/>
  <c r="D45" i="65"/>
  <c r="B45" i="65"/>
  <c r="Z44" i="65"/>
  <c r="X44" i="65"/>
  <c r="N44" i="65"/>
  <c r="L44" i="65"/>
  <c r="B44" i="65"/>
  <c r="Z43" i="65"/>
  <c r="X43" i="65"/>
  <c r="T43" i="65"/>
  <c r="P43" i="65"/>
  <c r="N43" i="65"/>
  <c r="H43" i="65"/>
  <c r="D43" i="65"/>
  <c r="L43" i="65" s="1"/>
  <c r="B43" i="65"/>
  <c r="Z42" i="65"/>
  <c r="X42" i="65"/>
  <c r="N42" i="65"/>
  <c r="L42" i="65"/>
  <c r="B42" i="65"/>
  <c r="Z41" i="65"/>
  <c r="T41" i="65"/>
  <c r="X41" i="65" s="1"/>
  <c r="P41" i="65"/>
  <c r="N41" i="65"/>
  <c r="J41" i="65"/>
  <c r="H41" i="65"/>
  <c r="D41" i="65"/>
  <c r="L41" i="65" s="1"/>
  <c r="B41" i="65"/>
  <c r="Z40" i="65"/>
  <c r="X40" i="65"/>
  <c r="V40" i="65"/>
  <c r="N40" i="65"/>
  <c r="L40" i="65"/>
  <c r="B40" i="65"/>
  <c r="Z39" i="65"/>
  <c r="X39" i="65"/>
  <c r="N39" i="65"/>
  <c r="L39" i="65"/>
  <c r="B39" i="65"/>
  <c r="Z38" i="65"/>
  <c r="X38" i="65"/>
  <c r="N38" i="65"/>
  <c r="L38" i="65"/>
  <c r="J38" i="65"/>
  <c r="F38" i="65"/>
  <c r="B38" i="65"/>
  <c r="Z37" i="65"/>
  <c r="X37" i="65"/>
  <c r="V37" i="65"/>
  <c r="N37" i="65"/>
  <c r="L37" i="65"/>
  <c r="B37" i="65"/>
  <c r="Z36" i="65"/>
  <c r="X36" i="65"/>
  <c r="N36" i="65"/>
  <c r="L36" i="65"/>
  <c r="F36" i="65"/>
  <c r="B36" i="65"/>
  <c r="Z35" i="65"/>
  <c r="X35" i="65"/>
  <c r="N35" i="65"/>
  <c r="L35" i="65"/>
  <c r="B35" i="65"/>
  <c r="Z34" i="65"/>
  <c r="X34" i="65"/>
  <c r="N34" i="65"/>
  <c r="L34" i="65"/>
  <c r="J34" i="65"/>
  <c r="B34" i="65"/>
  <c r="Z33" i="65"/>
  <c r="X33" i="65"/>
  <c r="V33" i="65"/>
  <c r="N33" i="65"/>
  <c r="L33" i="65"/>
  <c r="B33" i="65"/>
  <c r="Z32" i="65"/>
  <c r="X32" i="65"/>
  <c r="V32" i="65"/>
  <c r="N32" i="65"/>
  <c r="L32" i="65"/>
  <c r="F32" i="65"/>
  <c r="B32" i="65"/>
  <c r="Z31" i="65"/>
  <c r="X31" i="65"/>
  <c r="N31" i="65"/>
  <c r="L31" i="65"/>
  <c r="B31" i="65"/>
  <c r="Z30" i="65"/>
  <c r="T30" i="65"/>
  <c r="P30" i="65"/>
  <c r="X30" i="65" s="1"/>
  <c r="N30" i="65"/>
  <c r="L30" i="65"/>
  <c r="J30" i="65"/>
  <c r="H30" i="65"/>
  <c r="D30" i="65"/>
  <c r="B30" i="65"/>
  <c r="Z29" i="65"/>
  <c r="X29" i="65"/>
  <c r="N29" i="65"/>
  <c r="L29" i="65"/>
  <c r="J29" i="65"/>
  <c r="F29" i="65"/>
  <c r="B29" i="65"/>
  <c r="Z28" i="65"/>
  <c r="X28" i="65"/>
  <c r="N28" i="65"/>
  <c r="L28" i="65"/>
  <c r="J28" i="65"/>
  <c r="F28" i="65"/>
  <c r="B28" i="65"/>
  <c r="Z27" i="65"/>
  <c r="X27" i="65"/>
  <c r="N27" i="65"/>
  <c r="L27" i="65"/>
  <c r="J27" i="65"/>
  <c r="F27" i="65"/>
  <c r="B27" i="65"/>
  <c r="Z26" i="65"/>
  <c r="X26" i="65"/>
  <c r="N26" i="65"/>
  <c r="L26" i="65"/>
  <c r="B26" i="65"/>
  <c r="Z25" i="65"/>
  <c r="X25" i="65"/>
  <c r="N25" i="65"/>
  <c r="L25" i="65"/>
  <c r="J25" i="65"/>
  <c r="B25" i="65"/>
  <c r="Z24" i="65"/>
  <c r="X24" i="65"/>
  <c r="N24" i="65"/>
  <c r="L24" i="65"/>
  <c r="J24" i="65"/>
  <c r="F24" i="65"/>
  <c r="B24" i="65"/>
  <c r="Z23" i="65"/>
  <c r="X23" i="65"/>
  <c r="N23" i="65"/>
  <c r="L23" i="65"/>
  <c r="J23" i="65"/>
  <c r="F23" i="65"/>
  <c r="B23" i="65"/>
  <c r="Z22" i="65"/>
  <c r="X22" i="65"/>
  <c r="N22" i="65"/>
  <c r="L22" i="65"/>
  <c r="B22" i="65"/>
  <c r="Z21" i="65"/>
  <c r="X21" i="65"/>
  <c r="T21" i="65"/>
  <c r="P21" i="65"/>
  <c r="N21" i="65"/>
  <c r="L21" i="65"/>
  <c r="H21" i="65"/>
  <c r="F21" i="65"/>
  <c r="D21" i="65"/>
  <c r="B21" i="65"/>
  <c r="T20" i="65"/>
  <c r="Z20" i="65" s="1"/>
  <c r="P20" i="65"/>
  <c r="X20" i="65" s="1"/>
  <c r="N20" i="65"/>
  <c r="H20" i="65"/>
  <c r="D20" i="65"/>
  <c r="L20" i="65" s="1"/>
  <c r="T18" i="65"/>
  <c r="T66" i="65" s="1"/>
  <c r="T70" i="65" s="1"/>
  <c r="D18" i="65"/>
  <c r="Z16" i="65"/>
  <c r="X16" i="65"/>
  <c r="N16" i="65"/>
  <c r="L16" i="65"/>
  <c r="J16" i="65"/>
  <c r="B16" i="65"/>
  <c r="Z15" i="65"/>
  <c r="T15" i="65"/>
  <c r="P15" i="65"/>
  <c r="X15" i="65" s="1"/>
  <c r="N15" i="65"/>
  <c r="L15" i="65"/>
  <c r="J15" i="65"/>
  <c r="H15" i="65"/>
  <c r="H18" i="65" s="1"/>
  <c r="D15" i="65"/>
  <c r="P13" i="65"/>
  <c r="N13" i="65"/>
  <c r="D13" i="65"/>
  <c r="L13" i="65" s="1"/>
  <c r="B13" i="65"/>
  <c r="T12" i="65"/>
  <c r="V55" i="65" s="1"/>
  <c r="L12" i="65"/>
  <c r="H12" i="65"/>
  <c r="J68" i="65" s="1"/>
  <c r="D12" i="65"/>
  <c r="F60" i="65" s="1"/>
  <c r="D6" i="65"/>
  <c r="D4" i="65"/>
  <c r="Z94" i="64"/>
  <c r="X94" i="64"/>
  <c r="N94" i="64"/>
  <c r="L94" i="64"/>
  <c r="Z90" i="64"/>
  <c r="T90" i="64"/>
  <c r="P90" i="64"/>
  <c r="X90" i="64" s="1"/>
  <c r="N90" i="64"/>
  <c r="L90" i="64"/>
  <c r="J90" i="64"/>
  <c r="H90" i="64"/>
  <c r="D90" i="64"/>
  <c r="X88" i="64"/>
  <c r="Z88" i="64" s="1"/>
  <c r="N88" i="64"/>
  <c r="L88" i="64"/>
  <c r="B88" i="64"/>
  <c r="T87" i="64"/>
  <c r="Z87" i="64" s="1"/>
  <c r="P87" i="64"/>
  <c r="X87" i="64" s="1"/>
  <c r="H87" i="64"/>
  <c r="N87" i="64" s="1"/>
  <c r="D87" i="64"/>
  <c r="L87" i="64" s="1"/>
  <c r="B87" i="64"/>
  <c r="Z86" i="64"/>
  <c r="X86" i="64"/>
  <c r="N86" i="64"/>
  <c r="L86" i="64"/>
  <c r="B86" i="64"/>
  <c r="X85" i="64"/>
  <c r="Z85" i="64" s="1"/>
  <c r="N85" i="64"/>
  <c r="L85" i="64"/>
  <c r="B85" i="64"/>
  <c r="X84" i="64"/>
  <c r="Z84" i="64" s="1"/>
  <c r="T84" i="64"/>
  <c r="P84" i="64"/>
  <c r="H84" i="64"/>
  <c r="D84" i="64"/>
  <c r="B84" i="64"/>
  <c r="X83" i="64"/>
  <c r="Z83" i="64" s="1"/>
  <c r="V83" i="64"/>
  <c r="N83" i="64"/>
  <c r="L83" i="64"/>
  <c r="B83" i="64"/>
  <c r="Z82" i="64"/>
  <c r="X82" i="64"/>
  <c r="L82" i="64"/>
  <c r="N82" i="64" s="1"/>
  <c r="J82" i="64"/>
  <c r="B82" i="64"/>
  <c r="Z81" i="64"/>
  <c r="X81" i="64"/>
  <c r="N81" i="64"/>
  <c r="L81" i="64"/>
  <c r="B81" i="64"/>
  <c r="Z80" i="64"/>
  <c r="X80" i="64"/>
  <c r="L80" i="64"/>
  <c r="N80" i="64" s="1"/>
  <c r="B80" i="64"/>
  <c r="X79" i="64"/>
  <c r="Z79" i="64" s="1"/>
  <c r="T79" i="64"/>
  <c r="P79" i="64"/>
  <c r="H79" i="64"/>
  <c r="D79" i="64"/>
  <c r="B79" i="64"/>
  <c r="X78" i="64"/>
  <c r="Z78" i="64" s="1"/>
  <c r="L78" i="64"/>
  <c r="N78" i="64" s="1"/>
  <c r="B78" i="64"/>
  <c r="Z77" i="64"/>
  <c r="X77" i="64"/>
  <c r="N77" i="64"/>
  <c r="L77" i="64"/>
  <c r="B77" i="64"/>
  <c r="X76" i="64"/>
  <c r="Z76" i="64" s="1"/>
  <c r="T76" i="64"/>
  <c r="P76" i="64"/>
  <c r="N76" i="64"/>
  <c r="L76" i="64"/>
  <c r="J76" i="64"/>
  <c r="H76" i="64"/>
  <c r="D76" i="64"/>
  <c r="B76" i="64"/>
  <c r="X75" i="64"/>
  <c r="Z75" i="64" s="1"/>
  <c r="N75" i="64"/>
  <c r="L75" i="64"/>
  <c r="J75" i="64"/>
  <c r="B75" i="64"/>
  <c r="Z74" i="64"/>
  <c r="X74" i="64"/>
  <c r="N74" i="64"/>
  <c r="L74" i="64"/>
  <c r="B74" i="64"/>
  <c r="T73" i="64"/>
  <c r="P73" i="64"/>
  <c r="H73" i="64"/>
  <c r="D73" i="64"/>
  <c r="L73" i="64" s="1"/>
  <c r="B73" i="64"/>
  <c r="Z72" i="64"/>
  <c r="X72" i="64"/>
  <c r="N72" i="64"/>
  <c r="L72" i="64"/>
  <c r="B72" i="64"/>
  <c r="X71" i="64"/>
  <c r="Z71" i="64" s="1"/>
  <c r="T71" i="64"/>
  <c r="P71" i="64"/>
  <c r="H71" i="64"/>
  <c r="D71" i="64"/>
  <c r="B71" i="64"/>
  <c r="X70" i="64"/>
  <c r="Z70" i="64" s="1"/>
  <c r="N70" i="64"/>
  <c r="L70" i="64"/>
  <c r="B70" i="64"/>
  <c r="X69" i="64"/>
  <c r="V69" i="64"/>
  <c r="T69" i="64"/>
  <c r="P69" i="64"/>
  <c r="H69" i="64"/>
  <c r="N69" i="64" s="1"/>
  <c r="D69" i="64"/>
  <c r="B69" i="64"/>
  <c r="X68" i="64"/>
  <c r="Z68" i="64" s="1"/>
  <c r="V68" i="64"/>
  <c r="N68" i="64"/>
  <c r="L68" i="64"/>
  <c r="B68" i="64"/>
  <c r="T67" i="64"/>
  <c r="Z67" i="64" s="1"/>
  <c r="P67" i="64"/>
  <c r="X67" i="64" s="1"/>
  <c r="H67" i="64"/>
  <c r="D67" i="64"/>
  <c r="L67" i="64" s="1"/>
  <c r="B67" i="64"/>
  <c r="Z66" i="64"/>
  <c r="X66" i="64"/>
  <c r="N66" i="64"/>
  <c r="L66" i="64"/>
  <c r="B66" i="64"/>
  <c r="X65" i="64"/>
  <c r="Z65" i="64" s="1"/>
  <c r="L65" i="64"/>
  <c r="N65" i="64" s="1"/>
  <c r="B65" i="64"/>
  <c r="T64" i="64"/>
  <c r="Z64" i="64" s="1"/>
  <c r="P64" i="64"/>
  <c r="X64" i="64" s="1"/>
  <c r="J64" i="64"/>
  <c r="H64" i="64"/>
  <c r="N64" i="64" s="1"/>
  <c r="D64" i="64"/>
  <c r="L64" i="64" s="1"/>
  <c r="B64" i="64"/>
  <c r="X63" i="64"/>
  <c r="Z63" i="64" s="1"/>
  <c r="N63" i="64"/>
  <c r="L63" i="64"/>
  <c r="B63" i="64"/>
  <c r="X62" i="64"/>
  <c r="Z62" i="64" s="1"/>
  <c r="T62" i="64"/>
  <c r="P62" i="64"/>
  <c r="L62" i="64"/>
  <c r="N62" i="64" s="1"/>
  <c r="H62" i="64"/>
  <c r="D62" i="64"/>
  <c r="B62" i="64"/>
  <c r="Z61" i="64"/>
  <c r="X61" i="64"/>
  <c r="N61" i="64"/>
  <c r="L61" i="64"/>
  <c r="J61" i="64"/>
  <c r="B61" i="64"/>
  <c r="T60" i="64"/>
  <c r="P60" i="64"/>
  <c r="H60" i="64"/>
  <c r="N60" i="64" s="1"/>
  <c r="D60" i="64"/>
  <c r="B60" i="64"/>
  <c r="X59" i="64"/>
  <c r="Z59" i="64" s="1"/>
  <c r="V59" i="64"/>
  <c r="L59" i="64"/>
  <c r="N59" i="64" s="1"/>
  <c r="B59" i="64"/>
  <c r="T58" i="64"/>
  <c r="P58" i="64"/>
  <c r="X58" i="64" s="1"/>
  <c r="H58" i="64"/>
  <c r="D58" i="64"/>
  <c r="L58" i="64" s="1"/>
  <c r="B58" i="64"/>
  <c r="Z57" i="64"/>
  <c r="X57" i="64"/>
  <c r="N57" i="64"/>
  <c r="L57" i="64"/>
  <c r="B57" i="64"/>
  <c r="Z56" i="64"/>
  <c r="X56" i="64"/>
  <c r="N56" i="64"/>
  <c r="L56" i="64"/>
  <c r="J56" i="64"/>
  <c r="B56" i="64"/>
  <c r="X55" i="64"/>
  <c r="Z55" i="64" s="1"/>
  <c r="N55" i="64"/>
  <c r="L55" i="64"/>
  <c r="B55" i="64"/>
  <c r="Z54" i="64"/>
  <c r="X54" i="64"/>
  <c r="N54" i="64"/>
  <c r="L54" i="64"/>
  <c r="B54" i="64"/>
  <c r="Z53" i="64"/>
  <c r="X53" i="64"/>
  <c r="N53" i="64"/>
  <c r="L53" i="64"/>
  <c r="B53" i="64"/>
  <c r="X52" i="64"/>
  <c r="Z52" i="64" s="1"/>
  <c r="N52" i="64"/>
  <c r="L52" i="64"/>
  <c r="J52" i="64"/>
  <c r="B52" i="64"/>
  <c r="X51" i="64"/>
  <c r="Z51" i="64" s="1"/>
  <c r="N51" i="64"/>
  <c r="L51" i="64"/>
  <c r="B51" i="64"/>
  <c r="Z50" i="64"/>
  <c r="X50" i="64"/>
  <c r="N50" i="64"/>
  <c r="L50" i="64"/>
  <c r="J50" i="64"/>
  <c r="B50" i="64"/>
  <c r="Z49" i="64"/>
  <c r="X49" i="64"/>
  <c r="N49" i="64"/>
  <c r="L49" i="64"/>
  <c r="B49" i="64"/>
  <c r="X48" i="64"/>
  <c r="Z48" i="64" s="1"/>
  <c r="N48" i="64"/>
  <c r="L48" i="64"/>
  <c r="J48" i="64"/>
  <c r="B48" i="64"/>
  <c r="T47" i="64"/>
  <c r="Z47" i="64" s="1"/>
  <c r="P47" i="64"/>
  <c r="X47" i="64" s="1"/>
  <c r="H47" i="64"/>
  <c r="D47" i="64"/>
  <c r="B47" i="64"/>
  <c r="X46" i="64"/>
  <c r="Z46" i="64" s="1"/>
  <c r="N46" i="64"/>
  <c r="L46" i="64"/>
  <c r="J46" i="64"/>
  <c r="B46" i="64"/>
  <c r="Z45" i="64"/>
  <c r="X45" i="64"/>
  <c r="L45" i="64"/>
  <c r="N45" i="64" s="1"/>
  <c r="J45" i="64"/>
  <c r="B45" i="64"/>
  <c r="Z44" i="64"/>
  <c r="X44" i="64"/>
  <c r="N44" i="64"/>
  <c r="L44" i="64"/>
  <c r="B44" i="64"/>
  <c r="Z43" i="64"/>
  <c r="X43" i="64"/>
  <c r="L43" i="64"/>
  <c r="N43" i="64" s="1"/>
  <c r="J43" i="64"/>
  <c r="B43" i="64"/>
  <c r="X42" i="64"/>
  <c r="Z42" i="64" s="1"/>
  <c r="N42" i="64"/>
  <c r="L42" i="64"/>
  <c r="J42" i="64"/>
  <c r="B42" i="64"/>
  <c r="Z41" i="64"/>
  <c r="X41" i="64"/>
  <c r="L41" i="64"/>
  <c r="N41" i="64" s="1"/>
  <c r="J41" i="64"/>
  <c r="B41" i="64"/>
  <c r="Z40" i="64"/>
  <c r="X40" i="64"/>
  <c r="N40" i="64"/>
  <c r="L40" i="64"/>
  <c r="B40" i="64"/>
  <c r="Z39" i="64"/>
  <c r="X39" i="64"/>
  <c r="L39" i="64"/>
  <c r="N39" i="64" s="1"/>
  <c r="J39" i="64"/>
  <c r="B39" i="64"/>
  <c r="T38" i="64"/>
  <c r="P38" i="64"/>
  <c r="H38" i="64"/>
  <c r="D38" i="64"/>
  <c r="B38" i="64"/>
  <c r="T37" i="64"/>
  <c r="P37" i="64"/>
  <c r="X37" i="64" s="1"/>
  <c r="Z37" i="64" s="1"/>
  <c r="L37" i="64"/>
  <c r="J37" i="64"/>
  <c r="H37" i="64"/>
  <c r="N37" i="64" s="1"/>
  <c r="D37" i="64"/>
  <c r="Z33" i="64"/>
  <c r="X33" i="64"/>
  <c r="N33" i="64"/>
  <c r="L33" i="64"/>
  <c r="B33" i="64"/>
  <c r="Z32" i="64"/>
  <c r="X32" i="64"/>
  <c r="N32" i="64"/>
  <c r="L32" i="64"/>
  <c r="B32" i="64"/>
  <c r="Z31" i="64"/>
  <c r="X31" i="64"/>
  <c r="V31" i="64"/>
  <c r="N31" i="64"/>
  <c r="L31" i="64"/>
  <c r="B31" i="64"/>
  <c r="Z30" i="64"/>
  <c r="X30" i="64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Z27" i="64"/>
  <c r="X27" i="64"/>
  <c r="V27" i="64"/>
  <c r="N27" i="64"/>
  <c r="L27" i="64"/>
  <c r="B27" i="64"/>
  <c r="Z26" i="64"/>
  <c r="X26" i="64"/>
  <c r="L26" i="64"/>
  <c r="N26" i="64" s="1"/>
  <c r="B26" i="64"/>
  <c r="T25" i="64"/>
  <c r="P25" i="64"/>
  <c r="X25" i="64" s="1"/>
  <c r="Z25" i="64" s="1"/>
  <c r="L25" i="64"/>
  <c r="J25" i="64"/>
  <c r="H25" i="64"/>
  <c r="N25" i="64" s="1"/>
  <c r="D25" i="64"/>
  <c r="Z23" i="64"/>
  <c r="P23" i="64"/>
  <c r="X23" i="64" s="1"/>
  <c r="N23" i="64"/>
  <c r="D23" i="64"/>
  <c r="L23" i="64" s="1"/>
  <c r="B23" i="64"/>
  <c r="Z22" i="64"/>
  <c r="X22" i="64"/>
  <c r="P22" i="64"/>
  <c r="N22" i="64"/>
  <c r="D22" i="64"/>
  <c r="L22" i="64" s="1"/>
  <c r="B22" i="64"/>
  <c r="Z21" i="64"/>
  <c r="X21" i="64"/>
  <c r="P21" i="64"/>
  <c r="N21" i="64"/>
  <c r="D21" i="64"/>
  <c r="L21" i="64" s="1"/>
  <c r="B21" i="64"/>
  <c r="P20" i="64"/>
  <c r="X20" i="64" s="1"/>
  <c r="Z20" i="64" s="1"/>
  <c r="D20" i="64"/>
  <c r="L20" i="64" s="1"/>
  <c r="N20" i="64" s="1"/>
  <c r="B20" i="64"/>
  <c r="Z19" i="64"/>
  <c r="X19" i="64"/>
  <c r="P19" i="64"/>
  <c r="N19" i="64"/>
  <c r="L19" i="64"/>
  <c r="D19" i="64"/>
  <c r="B19" i="64"/>
  <c r="Z18" i="64"/>
  <c r="P18" i="64"/>
  <c r="X18" i="64" s="1"/>
  <c r="N18" i="64"/>
  <c r="L18" i="64"/>
  <c r="D18" i="64"/>
  <c r="B18" i="64"/>
  <c r="Z17" i="64"/>
  <c r="P17" i="64"/>
  <c r="X17" i="64" s="1"/>
  <c r="N17" i="64"/>
  <c r="D17" i="64"/>
  <c r="L17" i="64" s="1"/>
  <c r="B17" i="64"/>
  <c r="Z16" i="64"/>
  <c r="X16" i="64"/>
  <c r="P16" i="64"/>
  <c r="N16" i="64"/>
  <c r="L16" i="64"/>
  <c r="D16" i="64"/>
  <c r="B16" i="64"/>
  <c r="Z15" i="64"/>
  <c r="X15" i="64"/>
  <c r="P15" i="64"/>
  <c r="N15" i="64"/>
  <c r="D15" i="64"/>
  <c r="L15" i="64" s="1"/>
  <c r="B15" i="64"/>
  <c r="Z14" i="64"/>
  <c r="P14" i="64"/>
  <c r="X14" i="64" s="1"/>
  <c r="N14" i="64"/>
  <c r="D14" i="64"/>
  <c r="B14" i="64"/>
  <c r="Z13" i="64"/>
  <c r="P13" i="64"/>
  <c r="X13" i="64" s="1"/>
  <c r="N13" i="64"/>
  <c r="L13" i="64"/>
  <c r="D13" i="64"/>
  <c r="B13" i="64"/>
  <c r="T12" i="64"/>
  <c r="V84" i="64" s="1"/>
  <c r="H12" i="64"/>
  <c r="J83" i="64" s="1"/>
  <c r="D6" i="64"/>
  <c r="D4" i="64"/>
  <c r="V70" i="63"/>
  <c r="F70" i="63"/>
  <c r="V67" i="63"/>
  <c r="F67" i="63"/>
  <c r="Z65" i="63"/>
  <c r="X65" i="63"/>
  <c r="V65" i="63"/>
  <c r="N65" i="63"/>
  <c r="L65" i="63"/>
  <c r="V63" i="63"/>
  <c r="J63" i="63"/>
  <c r="V61" i="63"/>
  <c r="T61" i="63"/>
  <c r="Z61" i="63" s="1"/>
  <c r="P61" i="63"/>
  <c r="J61" i="63"/>
  <c r="H61" i="63"/>
  <c r="D61" i="63"/>
  <c r="Z59" i="63"/>
  <c r="X59" i="63"/>
  <c r="V59" i="63"/>
  <c r="N59" i="63"/>
  <c r="L59" i="63"/>
  <c r="J59" i="63"/>
  <c r="B59" i="63"/>
  <c r="Z58" i="63"/>
  <c r="T58" i="63"/>
  <c r="P58" i="63"/>
  <c r="X58" i="63" s="1"/>
  <c r="H58" i="63"/>
  <c r="N58" i="63" s="1"/>
  <c r="D58" i="63"/>
  <c r="L58" i="63" s="1"/>
  <c r="B58" i="63"/>
  <c r="Z57" i="63"/>
  <c r="X57" i="63"/>
  <c r="N57" i="63"/>
  <c r="L57" i="63"/>
  <c r="B57" i="63"/>
  <c r="X56" i="63"/>
  <c r="V56" i="63"/>
  <c r="T56" i="63"/>
  <c r="Z56" i="63" s="1"/>
  <c r="P56" i="63"/>
  <c r="N56" i="63"/>
  <c r="J56" i="63"/>
  <c r="H56" i="63"/>
  <c r="D56" i="63"/>
  <c r="L56" i="63" s="1"/>
  <c r="B56" i="63"/>
  <c r="Z55" i="63"/>
  <c r="X55" i="63"/>
  <c r="N55" i="63"/>
  <c r="L55" i="63"/>
  <c r="J55" i="63"/>
  <c r="F55" i="63"/>
  <c r="B55" i="63"/>
  <c r="T54" i="63"/>
  <c r="P54" i="63"/>
  <c r="H54" i="63"/>
  <c r="N54" i="63" s="1"/>
  <c r="F54" i="63"/>
  <c r="D54" i="63"/>
  <c r="L54" i="63" s="1"/>
  <c r="B54" i="63"/>
  <c r="Z53" i="63"/>
  <c r="X53" i="63"/>
  <c r="V53" i="63"/>
  <c r="N53" i="63"/>
  <c r="L53" i="63"/>
  <c r="B53" i="63"/>
  <c r="Z52" i="63"/>
  <c r="X52" i="63"/>
  <c r="N52" i="63"/>
  <c r="L52" i="63"/>
  <c r="J52" i="63"/>
  <c r="B52" i="63"/>
  <c r="V51" i="63"/>
  <c r="T51" i="63"/>
  <c r="Z51" i="63" s="1"/>
  <c r="P51" i="63"/>
  <c r="J51" i="63"/>
  <c r="H51" i="63"/>
  <c r="D51" i="63"/>
  <c r="B51" i="63"/>
  <c r="Z50" i="63"/>
  <c r="X50" i="63"/>
  <c r="V50" i="63"/>
  <c r="N50" i="63"/>
  <c r="L50" i="63"/>
  <c r="F50" i="63"/>
  <c r="B50" i="63"/>
  <c r="Z49" i="63"/>
  <c r="X49" i="63"/>
  <c r="N49" i="63"/>
  <c r="L49" i="63"/>
  <c r="B49" i="63"/>
  <c r="X48" i="63"/>
  <c r="V48" i="63"/>
  <c r="T48" i="63"/>
  <c r="Z48" i="63" s="1"/>
  <c r="P48" i="63"/>
  <c r="N48" i="63"/>
  <c r="J48" i="63"/>
  <c r="H48" i="63"/>
  <c r="D48" i="63"/>
  <c r="L48" i="63" s="1"/>
  <c r="B48" i="63"/>
  <c r="Z47" i="63"/>
  <c r="X47" i="63"/>
  <c r="N47" i="63"/>
  <c r="L47" i="63"/>
  <c r="J47" i="63"/>
  <c r="F47" i="63"/>
  <c r="B47" i="63"/>
  <c r="T46" i="63"/>
  <c r="P46" i="63"/>
  <c r="H46" i="63"/>
  <c r="N46" i="63" s="1"/>
  <c r="F46" i="63"/>
  <c r="D46" i="63"/>
  <c r="L46" i="63" s="1"/>
  <c r="B46" i="63"/>
  <c r="Z45" i="63"/>
  <c r="X45" i="63"/>
  <c r="V45" i="63"/>
  <c r="R45" i="63"/>
  <c r="N45" i="63"/>
  <c r="L45" i="63"/>
  <c r="B45" i="63"/>
  <c r="T44" i="63"/>
  <c r="Z44" i="63" s="1"/>
  <c r="P44" i="63"/>
  <c r="X44" i="63" s="1"/>
  <c r="N44" i="63"/>
  <c r="H44" i="63"/>
  <c r="D44" i="63"/>
  <c r="L44" i="63" s="1"/>
  <c r="B44" i="63"/>
  <c r="Z43" i="63"/>
  <c r="X43" i="63"/>
  <c r="V43" i="63"/>
  <c r="N43" i="63"/>
  <c r="L43" i="63"/>
  <c r="B43" i="63"/>
  <c r="Z42" i="63"/>
  <c r="V42" i="63"/>
  <c r="T42" i="63"/>
  <c r="P42" i="63"/>
  <c r="X42" i="63" s="1"/>
  <c r="L42" i="63"/>
  <c r="J42" i="63"/>
  <c r="H42" i="63"/>
  <c r="N42" i="63" s="1"/>
  <c r="D42" i="63"/>
  <c r="B42" i="63"/>
  <c r="Z41" i="63"/>
  <c r="X41" i="63"/>
  <c r="N41" i="63"/>
  <c r="L41" i="63"/>
  <c r="J41" i="63"/>
  <c r="F41" i="63"/>
  <c r="B41" i="63"/>
  <c r="T40" i="63"/>
  <c r="Z40" i="63" s="1"/>
  <c r="P40" i="63"/>
  <c r="X40" i="63" s="1"/>
  <c r="H40" i="63"/>
  <c r="F40" i="63"/>
  <c r="D40" i="63"/>
  <c r="B40" i="63"/>
  <c r="Z39" i="63"/>
  <c r="X39" i="63"/>
  <c r="V39" i="63"/>
  <c r="N39" i="63"/>
  <c r="L39" i="63"/>
  <c r="J39" i="63"/>
  <c r="B39" i="63"/>
  <c r="Z38" i="63"/>
  <c r="X38" i="63"/>
  <c r="N38" i="63"/>
  <c r="L38" i="63"/>
  <c r="J38" i="63"/>
  <c r="B38" i="63"/>
  <c r="Z37" i="63"/>
  <c r="X37" i="63"/>
  <c r="V37" i="63"/>
  <c r="R37" i="63"/>
  <c r="N37" i="63"/>
  <c r="L37" i="63"/>
  <c r="B37" i="63"/>
  <c r="Z36" i="63"/>
  <c r="X36" i="63"/>
  <c r="N36" i="63"/>
  <c r="L36" i="63"/>
  <c r="J36" i="63"/>
  <c r="B36" i="63"/>
  <c r="Z35" i="63"/>
  <c r="X35" i="63"/>
  <c r="V35" i="63"/>
  <c r="N35" i="63"/>
  <c r="L35" i="63"/>
  <c r="J35" i="63"/>
  <c r="B35" i="63"/>
  <c r="Z34" i="63"/>
  <c r="X34" i="63"/>
  <c r="N34" i="63"/>
  <c r="L34" i="63"/>
  <c r="J34" i="63"/>
  <c r="B34" i="63"/>
  <c r="Z33" i="63"/>
  <c r="X33" i="63"/>
  <c r="V33" i="63"/>
  <c r="N33" i="63"/>
  <c r="L33" i="63"/>
  <c r="B33" i="63"/>
  <c r="Z32" i="63"/>
  <c r="X32" i="63"/>
  <c r="N32" i="63"/>
  <c r="L32" i="63"/>
  <c r="J32" i="63"/>
  <c r="B32" i="63"/>
  <c r="Z31" i="63"/>
  <c r="X31" i="63"/>
  <c r="V31" i="63"/>
  <c r="N31" i="63"/>
  <c r="L31" i="63"/>
  <c r="J31" i="63"/>
  <c r="B31" i="63"/>
  <c r="Z30" i="63"/>
  <c r="X30" i="63"/>
  <c r="N30" i="63"/>
  <c r="L30" i="63"/>
  <c r="J30" i="63"/>
  <c r="B30" i="63"/>
  <c r="V29" i="63"/>
  <c r="T29" i="63"/>
  <c r="P29" i="63"/>
  <c r="J29" i="63"/>
  <c r="H29" i="63"/>
  <c r="N29" i="63" s="1"/>
  <c r="D29" i="63"/>
  <c r="B29" i="63"/>
  <c r="Z28" i="63"/>
  <c r="X28" i="63"/>
  <c r="V28" i="63"/>
  <c r="N28" i="63"/>
  <c r="L28" i="63"/>
  <c r="J28" i="63"/>
  <c r="F28" i="63"/>
  <c r="B28" i="63"/>
  <c r="Z27" i="63"/>
  <c r="X27" i="63"/>
  <c r="V27" i="63"/>
  <c r="N27" i="63"/>
  <c r="L27" i="63"/>
  <c r="B27" i="63"/>
  <c r="Z26" i="63"/>
  <c r="X26" i="63"/>
  <c r="V26" i="63"/>
  <c r="N26" i="63"/>
  <c r="L26" i="63"/>
  <c r="F26" i="63"/>
  <c r="B26" i="63"/>
  <c r="Z25" i="63"/>
  <c r="X25" i="63"/>
  <c r="N25" i="63"/>
  <c r="L25" i="63"/>
  <c r="B25" i="63"/>
  <c r="Z24" i="63"/>
  <c r="X24" i="63"/>
  <c r="V24" i="63"/>
  <c r="N24" i="63"/>
  <c r="L24" i="63"/>
  <c r="J24" i="63"/>
  <c r="F24" i="63"/>
  <c r="B24" i="63"/>
  <c r="Z23" i="63"/>
  <c r="X23" i="63"/>
  <c r="V23" i="63"/>
  <c r="N23" i="63"/>
  <c r="L23" i="63"/>
  <c r="B23" i="63"/>
  <c r="Z22" i="63"/>
  <c r="X22" i="63"/>
  <c r="V22" i="63"/>
  <c r="N22" i="63"/>
  <c r="L22" i="63"/>
  <c r="F22" i="63"/>
  <c r="B22" i="63"/>
  <c r="Z21" i="63"/>
  <c r="X21" i="63"/>
  <c r="V21" i="63"/>
  <c r="N21" i="63"/>
  <c r="L21" i="63"/>
  <c r="J21" i="63"/>
  <c r="B21" i="63"/>
  <c r="Z20" i="63"/>
  <c r="X20" i="63"/>
  <c r="V20" i="63"/>
  <c r="N20" i="63"/>
  <c r="L20" i="63"/>
  <c r="J20" i="63"/>
  <c r="F20" i="63"/>
  <c r="B20" i="63"/>
  <c r="Z19" i="63"/>
  <c r="V19" i="63"/>
  <c r="T19" i="63"/>
  <c r="R19" i="63"/>
  <c r="P19" i="63"/>
  <c r="X19" i="63" s="1"/>
  <c r="J19" i="63"/>
  <c r="H19" i="63"/>
  <c r="N19" i="63" s="1"/>
  <c r="F19" i="63"/>
  <c r="D19" i="63"/>
  <c r="L19" i="63" s="1"/>
  <c r="B19" i="63"/>
  <c r="T18" i="63"/>
  <c r="P18" i="63"/>
  <c r="J18" i="63"/>
  <c r="H18" i="63"/>
  <c r="N18" i="63" s="1"/>
  <c r="F18" i="63"/>
  <c r="D18" i="63"/>
  <c r="L18" i="63" s="1"/>
  <c r="R16" i="63"/>
  <c r="J16" i="63"/>
  <c r="F16" i="63"/>
  <c r="T14" i="63"/>
  <c r="P14" i="63"/>
  <c r="J14" i="63"/>
  <c r="H14" i="63"/>
  <c r="N14" i="63" s="1"/>
  <c r="F14" i="63"/>
  <c r="D14" i="63"/>
  <c r="L14" i="63" s="1"/>
  <c r="T12" i="63"/>
  <c r="V58" i="63" s="1"/>
  <c r="P12" i="63"/>
  <c r="R14" i="63" s="1"/>
  <c r="N12" i="63"/>
  <c r="L12" i="63"/>
  <c r="H12" i="63"/>
  <c r="J44" i="63" s="1"/>
  <c r="D12" i="63"/>
  <c r="F65" i="63" s="1"/>
  <c r="D6" i="63"/>
  <c r="D4" i="63"/>
  <c r="Z105" i="62"/>
  <c r="X105" i="62"/>
  <c r="N105" i="62"/>
  <c r="L105" i="62"/>
  <c r="R101" i="62"/>
  <c r="P101" i="62"/>
  <c r="X101" i="62" s="1"/>
  <c r="Z101" i="62" s="1"/>
  <c r="D101" i="62"/>
  <c r="L101" i="62" s="1"/>
  <c r="N101" i="62" s="1"/>
  <c r="B101" i="62"/>
  <c r="P100" i="62"/>
  <c r="X100" i="62" s="1"/>
  <c r="Z100" i="62" s="1"/>
  <c r="N100" i="62"/>
  <c r="L100" i="62"/>
  <c r="D100" i="62"/>
  <c r="B100" i="62"/>
  <c r="Z99" i="62"/>
  <c r="T99" i="62"/>
  <c r="P99" i="62"/>
  <c r="X99" i="62" s="1"/>
  <c r="H99" i="62"/>
  <c r="D99" i="62"/>
  <c r="L99" i="62" s="1"/>
  <c r="Z97" i="62"/>
  <c r="X97" i="62"/>
  <c r="L97" i="62"/>
  <c r="N97" i="62" s="1"/>
  <c r="B97" i="62"/>
  <c r="V96" i="62"/>
  <c r="T96" i="62"/>
  <c r="P96" i="62"/>
  <c r="X96" i="62" s="1"/>
  <c r="H96" i="62"/>
  <c r="D96" i="62"/>
  <c r="B96" i="62"/>
  <c r="Z95" i="62"/>
  <c r="X95" i="62"/>
  <c r="V95" i="62"/>
  <c r="N95" i="62"/>
  <c r="L95" i="62"/>
  <c r="B95" i="62"/>
  <c r="Z94" i="62"/>
  <c r="X94" i="62"/>
  <c r="N94" i="62"/>
  <c r="L94" i="62"/>
  <c r="B94" i="62"/>
  <c r="X93" i="62"/>
  <c r="T93" i="62"/>
  <c r="Z93" i="62" s="1"/>
  <c r="P93" i="62"/>
  <c r="L93" i="62"/>
  <c r="H93" i="62"/>
  <c r="N93" i="62" s="1"/>
  <c r="D93" i="62"/>
  <c r="B93" i="62"/>
  <c r="Z92" i="62"/>
  <c r="X92" i="62"/>
  <c r="N92" i="62"/>
  <c r="L92" i="62"/>
  <c r="B92" i="62"/>
  <c r="T91" i="62"/>
  <c r="P91" i="62"/>
  <c r="X91" i="62" s="1"/>
  <c r="H91" i="62"/>
  <c r="D91" i="62"/>
  <c r="B91" i="62"/>
  <c r="X90" i="62"/>
  <c r="Z90" i="62" s="1"/>
  <c r="V90" i="62"/>
  <c r="N90" i="62"/>
  <c r="L90" i="62"/>
  <c r="B90" i="62"/>
  <c r="Z89" i="62"/>
  <c r="T89" i="62"/>
  <c r="P89" i="62"/>
  <c r="X89" i="62" s="1"/>
  <c r="H89" i="62"/>
  <c r="N89" i="62" s="1"/>
  <c r="D89" i="62"/>
  <c r="L89" i="62" s="1"/>
  <c r="B89" i="62"/>
  <c r="Z88" i="62"/>
  <c r="X88" i="62"/>
  <c r="N88" i="62"/>
  <c r="L88" i="62"/>
  <c r="B88" i="62"/>
  <c r="X87" i="62"/>
  <c r="Z87" i="62" s="1"/>
  <c r="V87" i="62"/>
  <c r="L87" i="62"/>
  <c r="N87" i="62" s="1"/>
  <c r="B87" i="62"/>
  <c r="Z86" i="62"/>
  <c r="X86" i="62"/>
  <c r="V86" i="62"/>
  <c r="N86" i="62"/>
  <c r="L86" i="62"/>
  <c r="B86" i="62"/>
  <c r="Z85" i="62"/>
  <c r="X85" i="62"/>
  <c r="N85" i="62"/>
  <c r="L85" i="62"/>
  <c r="B85" i="62"/>
  <c r="Z84" i="62"/>
  <c r="X84" i="62"/>
  <c r="N84" i="62"/>
  <c r="L84" i="62"/>
  <c r="B84" i="62"/>
  <c r="X83" i="62"/>
  <c r="Z83" i="62" s="1"/>
  <c r="V83" i="62"/>
  <c r="L83" i="62"/>
  <c r="N83" i="62" s="1"/>
  <c r="B83" i="62"/>
  <c r="Z82" i="62"/>
  <c r="X82" i="62"/>
  <c r="V82" i="62"/>
  <c r="N82" i="62"/>
  <c r="L82" i="62"/>
  <c r="B82" i="62"/>
  <c r="X81" i="62"/>
  <c r="T81" i="62"/>
  <c r="Z81" i="62" s="1"/>
  <c r="P81" i="62"/>
  <c r="L81" i="62"/>
  <c r="H81" i="62"/>
  <c r="D81" i="62"/>
  <c r="B81" i="62"/>
  <c r="Z80" i="62"/>
  <c r="X80" i="62"/>
  <c r="N80" i="62"/>
  <c r="L80" i="62"/>
  <c r="F80" i="62"/>
  <c r="B80" i="62"/>
  <c r="T79" i="62"/>
  <c r="R79" i="62"/>
  <c r="P79" i="62"/>
  <c r="H79" i="62"/>
  <c r="D79" i="62"/>
  <c r="B79" i="62"/>
  <c r="Z78" i="62"/>
  <c r="X78" i="62"/>
  <c r="V78" i="62"/>
  <c r="R78" i="62"/>
  <c r="N78" i="62"/>
  <c r="L78" i="62"/>
  <c r="B78" i="62"/>
  <c r="Z77" i="62"/>
  <c r="X77" i="62"/>
  <c r="N77" i="62"/>
  <c r="L77" i="62"/>
  <c r="B77" i="62"/>
  <c r="Z76" i="62"/>
  <c r="X76" i="62"/>
  <c r="V76" i="62"/>
  <c r="R76" i="62"/>
  <c r="N76" i="62"/>
  <c r="L76" i="62"/>
  <c r="B76" i="62"/>
  <c r="T75" i="62"/>
  <c r="P75" i="62"/>
  <c r="X75" i="62" s="1"/>
  <c r="H75" i="62"/>
  <c r="D75" i="62"/>
  <c r="L75" i="62" s="1"/>
  <c r="N75" i="62" s="1"/>
  <c r="B75" i="62"/>
  <c r="Z74" i="62"/>
  <c r="X74" i="62"/>
  <c r="V74" i="62"/>
  <c r="N74" i="62"/>
  <c r="L74" i="62"/>
  <c r="B74" i="62"/>
  <c r="X73" i="62"/>
  <c r="Z73" i="62" s="1"/>
  <c r="L73" i="62"/>
  <c r="N73" i="62" s="1"/>
  <c r="B73" i="62"/>
  <c r="Z72" i="62"/>
  <c r="X72" i="62"/>
  <c r="N72" i="62"/>
  <c r="L72" i="62"/>
  <c r="B72" i="62"/>
  <c r="X71" i="62"/>
  <c r="Z71" i="62" s="1"/>
  <c r="V71" i="62"/>
  <c r="N71" i="62"/>
  <c r="L71" i="62"/>
  <c r="F71" i="62"/>
  <c r="B71" i="62"/>
  <c r="V70" i="62"/>
  <c r="T70" i="62"/>
  <c r="R70" i="62"/>
  <c r="P70" i="62"/>
  <c r="X70" i="62" s="1"/>
  <c r="Z70" i="62" s="1"/>
  <c r="H70" i="62"/>
  <c r="F70" i="62"/>
  <c r="D70" i="62"/>
  <c r="L70" i="62" s="1"/>
  <c r="B70" i="62"/>
  <c r="X69" i="62"/>
  <c r="Z69" i="62" s="1"/>
  <c r="R69" i="62"/>
  <c r="N69" i="62"/>
  <c r="L69" i="62"/>
  <c r="B69" i="62"/>
  <c r="Z68" i="62"/>
  <c r="X68" i="62"/>
  <c r="T68" i="62"/>
  <c r="R68" i="62"/>
  <c r="P68" i="62"/>
  <c r="N68" i="62"/>
  <c r="L68" i="62"/>
  <c r="H68" i="62"/>
  <c r="D68" i="62"/>
  <c r="B68" i="62"/>
  <c r="Z67" i="62"/>
  <c r="X67" i="62"/>
  <c r="R67" i="62"/>
  <c r="L67" i="62"/>
  <c r="N67" i="62" s="1"/>
  <c r="B67" i="62"/>
  <c r="V66" i="62"/>
  <c r="T66" i="62"/>
  <c r="P66" i="62"/>
  <c r="H66" i="62"/>
  <c r="D66" i="62"/>
  <c r="L66" i="62" s="1"/>
  <c r="B66" i="62"/>
  <c r="X65" i="62"/>
  <c r="Z65" i="62" s="1"/>
  <c r="L65" i="62"/>
  <c r="N65" i="62" s="1"/>
  <c r="B65" i="62"/>
  <c r="T64" i="62"/>
  <c r="R64" i="62"/>
  <c r="P64" i="62"/>
  <c r="X64" i="62" s="1"/>
  <c r="H64" i="62"/>
  <c r="D64" i="62"/>
  <c r="L64" i="62" s="1"/>
  <c r="N64" i="62" s="1"/>
  <c r="B64" i="62"/>
  <c r="X63" i="62"/>
  <c r="Z63" i="62" s="1"/>
  <c r="R63" i="62"/>
  <c r="N63" i="62"/>
  <c r="L63" i="62"/>
  <c r="B63" i="62"/>
  <c r="X62" i="62"/>
  <c r="Z62" i="62" s="1"/>
  <c r="T62" i="62"/>
  <c r="P62" i="62"/>
  <c r="N62" i="62"/>
  <c r="L62" i="62"/>
  <c r="H62" i="62"/>
  <c r="D62" i="62"/>
  <c r="B62" i="62"/>
  <c r="Z61" i="62"/>
  <c r="X61" i="62"/>
  <c r="L61" i="62"/>
  <c r="N61" i="62" s="1"/>
  <c r="B61" i="62"/>
  <c r="Z60" i="62"/>
  <c r="V60" i="62"/>
  <c r="T60" i="62"/>
  <c r="X60" i="62" s="1"/>
  <c r="P60" i="62"/>
  <c r="H60" i="62"/>
  <c r="D60" i="62"/>
  <c r="B60" i="62"/>
  <c r="X59" i="62"/>
  <c r="Z59" i="62" s="1"/>
  <c r="V59" i="62"/>
  <c r="L59" i="62"/>
  <c r="N59" i="62" s="1"/>
  <c r="F59" i="62"/>
  <c r="B59" i="62"/>
  <c r="V58" i="62"/>
  <c r="T58" i="62"/>
  <c r="R58" i="62"/>
  <c r="P58" i="62"/>
  <c r="X58" i="62" s="1"/>
  <c r="Z58" i="62" s="1"/>
  <c r="H58" i="62"/>
  <c r="F58" i="62"/>
  <c r="D58" i="62"/>
  <c r="L58" i="62" s="1"/>
  <c r="B58" i="62"/>
  <c r="X57" i="62"/>
  <c r="Z57" i="62" s="1"/>
  <c r="R57" i="62"/>
  <c r="N57" i="62"/>
  <c r="L57" i="62"/>
  <c r="B57" i="62"/>
  <c r="Z56" i="62"/>
  <c r="X56" i="62"/>
  <c r="T56" i="62"/>
  <c r="R56" i="62"/>
  <c r="P56" i="62"/>
  <c r="N56" i="62"/>
  <c r="L56" i="62"/>
  <c r="H56" i="62"/>
  <c r="D56" i="62"/>
  <c r="B56" i="62"/>
  <c r="Z55" i="62"/>
  <c r="X55" i="62"/>
  <c r="R55" i="62"/>
  <c r="L55" i="62"/>
  <c r="N55" i="62" s="1"/>
  <c r="B55" i="62"/>
  <c r="V54" i="62"/>
  <c r="T54" i="62"/>
  <c r="P54" i="62"/>
  <c r="H54" i="62"/>
  <c r="D54" i="62"/>
  <c r="B54" i="62"/>
  <c r="Z53" i="62"/>
  <c r="X53" i="62"/>
  <c r="V53" i="62"/>
  <c r="N53" i="62"/>
  <c r="L53" i="62"/>
  <c r="F53" i="62"/>
  <c r="B53" i="62"/>
  <c r="T52" i="62"/>
  <c r="Z52" i="62" s="1"/>
  <c r="R52" i="62"/>
  <c r="P52" i="62"/>
  <c r="X52" i="62" s="1"/>
  <c r="N52" i="62"/>
  <c r="H52" i="62"/>
  <c r="F52" i="62"/>
  <c r="D52" i="62"/>
  <c r="L52" i="62" s="1"/>
  <c r="B52" i="62"/>
  <c r="X51" i="62"/>
  <c r="Z51" i="62" s="1"/>
  <c r="R51" i="62"/>
  <c r="N51" i="62"/>
  <c r="L51" i="62"/>
  <c r="F51" i="62"/>
  <c r="B51" i="62"/>
  <c r="Z50" i="62"/>
  <c r="X50" i="62"/>
  <c r="N50" i="62"/>
  <c r="L50" i="62"/>
  <c r="B50" i="62"/>
  <c r="T49" i="62"/>
  <c r="R49" i="62"/>
  <c r="P49" i="62"/>
  <c r="H49" i="62"/>
  <c r="D49" i="62"/>
  <c r="B49" i="62"/>
  <c r="Z48" i="62"/>
  <c r="X48" i="62"/>
  <c r="V48" i="62"/>
  <c r="R48" i="62"/>
  <c r="N48" i="62"/>
  <c r="L48" i="62"/>
  <c r="B48" i="62"/>
  <c r="T47" i="62"/>
  <c r="P47" i="62"/>
  <c r="X47" i="62" s="1"/>
  <c r="H47" i="62"/>
  <c r="D47" i="62"/>
  <c r="L47" i="62" s="1"/>
  <c r="N47" i="62" s="1"/>
  <c r="B47" i="62"/>
  <c r="Z46" i="62"/>
  <c r="X46" i="62"/>
  <c r="V46" i="62"/>
  <c r="L46" i="62"/>
  <c r="N46" i="62" s="1"/>
  <c r="B46" i="62"/>
  <c r="X45" i="62"/>
  <c r="Z45" i="62" s="1"/>
  <c r="V45" i="62"/>
  <c r="L45" i="62"/>
  <c r="N45" i="62" s="1"/>
  <c r="F45" i="62"/>
  <c r="B45" i="62"/>
  <c r="T44" i="62"/>
  <c r="Z44" i="62" s="1"/>
  <c r="R44" i="62"/>
  <c r="P44" i="62"/>
  <c r="X44" i="62" s="1"/>
  <c r="H44" i="62"/>
  <c r="F44" i="62"/>
  <c r="D44" i="62"/>
  <c r="L44" i="62" s="1"/>
  <c r="N44" i="62" s="1"/>
  <c r="B44" i="62"/>
  <c r="Z43" i="62"/>
  <c r="X43" i="62"/>
  <c r="R43" i="62"/>
  <c r="N43" i="62"/>
  <c r="L43" i="62"/>
  <c r="B43" i="62"/>
  <c r="Z42" i="62"/>
  <c r="X42" i="62"/>
  <c r="T42" i="62"/>
  <c r="P42" i="62"/>
  <c r="N42" i="62"/>
  <c r="L42" i="62"/>
  <c r="H42" i="62"/>
  <c r="F42" i="62"/>
  <c r="D42" i="62"/>
  <c r="B42" i="62"/>
  <c r="Z41" i="62"/>
  <c r="X41" i="62"/>
  <c r="N41" i="62"/>
  <c r="L41" i="62"/>
  <c r="B41" i="62"/>
  <c r="Z40" i="62"/>
  <c r="X40" i="62"/>
  <c r="V40" i="62"/>
  <c r="R40" i="62"/>
  <c r="N40" i="62"/>
  <c r="L40" i="62"/>
  <c r="B40" i="62"/>
  <c r="Z39" i="62"/>
  <c r="X39" i="62"/>
  <c r="R39" i="62"/>
  <c r="L39" i="62"/>
  <c r="N39" i="62" s="1"/>
  <c r="B39" i="62"/>
  <c r="X38" i="62"/>
  <c r="Z38" i="62" s="1"/>
  <c r="V38" i="62"/>
  <c r="R38" i="62"/>
  <c r="N38" i="62"/>
  <c r="L38" i="62"/>
  <c r="B38" i="62"/>
  <c r="Z37" i="62"/>
  <c r="X37" i="62"/>
  <c r="N37" i="62"/>
  <c r="L37" i="62"/>
  <c r="B37" i="62"/>
  <c r="Z36" i="62"/>
  <c r="X36" i="62"/>
  <c r="V36" i="62"/>
  <c r="R36" i="62"/>
  <c r="N36" i="62"/>
  <c r="L36" i="62"/>
  <c r="B36" i="62"/>
  <c r="Z35" i="62"/>
  <c r="X35" i="62"/>
  <c r="R35" i="62"/>
  <c r="L35" i="62"/>
  <c r="N35" i="62" s="1"/>
  <c r="J35" i="62"/>
  <c r="B35" i="62"/>
  <c r="Z34" i="62"/>
  <c r="X34" i="62"/>
  <c r="V34" i="62"/>
  <c r="R34" i="62"/>
  <c r="N34" i="62"/>
  <c r="L34" i="62"/>
  <c r="B34" i="62"/>
  <c r="Z33" i="62"/>
  <c r="X33" i="62"/>
  <c r="L33" i="62"/>
  <c r="N33" i="62" s="1"/>
  <c r="B33" i="62"/>
  <c r="Z32" i="62"/>
  <c r="X32" i="62"/>
  <c r="V32" i="62"/>
  <c r="R32" i="62"/>
  <c r="L32" i="62"/>
  <c r="N32" i="62" s="1"/>
  <c r="B32" i="62"/>
  <c r="T31" i="62"/>
  <c r="P31" i="62"/>
  <c r="X31" i="62" s="1"/>
  <c r="H31" i="62"/>
  <c r="D31" i="62"/>
  <c r="L31" i="62" s="1"/>
  <c r="N31" i="62" s="1"/>
  <c r="B31" i="62"/>
  <c r="Z30" i="62"/>
  <c r="X30" i="62"/>
  <c r="V30" i="62"/>
  <c r="N30" i="62"/>
  <c r="L30" i="62"/>
  <c r="B30" i="62"/>
  <c r="X29" i="62"/>
  <c r="Z29" i="62" s="1"/>
  <c r="V29" i="62"/>
  <c r="L29" i="62"/>
  <c r="N29" i="62" s="1"/>
  <c r="F29" i="62"/>
  <c r="B29" i="62"/>
  <c r="X28" i="62"/>
  <c r="Z28" i="62" s="1"/>
  <c r="L28" i="62"/>
  <c r="N28" i="62" s="1"/>
  <c r="B28" i="62"/>
  <c r="Z27" i="62"/>
  <c r="X27" i="62"/>
  <c r="V27" i="62"/>
  <c r="N27" i="62"/>
  <c r="L27" i="62"/>
  <c r="F27" i="62"/>
  <c r="B27" i="62"/>
  <c r="Z26" i="62"/>
  <c r="X26" i="62"/>
  <c r="V26" i="62"/>
  <c r="N26" i="62"/>
  <c r="L26" i="62"/>
  <c r="B26" i="62"/>
  <c r="X25" i="62"/>
  <c r="Z25" i="62" s="1"/>
  <c r="V25" i="62"/>
  <c r="L25" i="62"/>
  <c r="N25" i="62" s="1"/>
  <c r="F25" i="62"/>
  <c r="B25" i="62"/>
  <c r="X24" i="62"/>
  <c r="Z24" i="62" s="1"/>
  <c r="N24" i="62"/>
  <c r="L24" i="62"/>
  <c r="B24" i="62"/>
  <c r="X23" i="62"/>
  <c r="Z23" i="62" s="1"/>
  <c r="V23" i="62"/>
  <c r="L23" i="62"/>
  <c r="N23" i="62" s="1"/>
  <c r="F23" i="62"/>
  <c r="B23" i="62"/>
  <c r="X22" i="62"/>
  <c r="Z22" i="62" s="1"/>
  <c r="V22" i="62"/>
  <c r="L22" i="62"/>
  <c r="N22" i="62" s="1"/>
  <c r="B22" i="62"/>
  <c r="X21" i="62"/>
  <c r="Z21" i="62" s="1"/>
  <c r="V21" i="62"/>
  <c r="L21" i="62"/>
  <c r="N21" i="62" s="1"/>
  <c r="F21" i="62"/>
  <c r="B21" i="62"/>
  <c r="T20" i="62"/>
  <c r="Z20" i="62" s="1"/>
  <c r="R20" i="62"/>
  <c r="P20" i="62"/>
  <c r="X20" i="62" s="1"/>
  <c r="H20" i="62"/>
  <c r="F20" i="62"/>
  <c r="D20" i="62"/>
  <c r="L20" i="62" s="1"/>
  <c r="B20" i="62"/>
  <c r="T19" i="62"/>
  <c r="R19" i="62"/>
  <c r="P19" i="62"/>
  <c r="H19" i="62"/>
  <c r="F19" i="62"/>
  <c r="D19" i="62"/>
  <c r="T17" i="62"/>
  <c r="R17" i="62"/>
  <c r="P17" i="62"/>
  <c r="F17" i="62"/>
  <c r="Z15" i="62"/>
  <c r="X15" i="62"/>
  <c r="R15" i="62"/>
  <c r="N15" i="62"/>
  <c r="L15" i="62"/>
  <c r="F15" i="62"/>
  <c r="B15" i="62"/>
  <c r="Z14" i="62"/>
  <c r="X14" i="62"/>
  <c r="T14" i="62"/>
  <c r="R14" i="62"/>
  <c r="P14" i="62"/>
  <c r="N14" i="62"/>
  <c r="L14" i="62"/>
  <c r="H14" i="62"/>
  <c r="F14" i="62"/>
  <c r="D14" i="62"/>
  <c r="Z12" i="62"/>
  <c r="X12" i="62"/>
  <c r="T12" i="62"/>
  <c r="V99" i="62" s="1"/>
  <c r="P12" i="62"/>
  <c r="R50" i="62" s="1"/>
  <c r="H12" i="62"/>
  <c r="D12" i="62"/>
  <c r="D6" i="62"/>
  <c r="D4" i="62"/>
  <c r="J64" i="61"/>
  <c r="Z62" i="61"/>
  <c r="X62" i="61"/>
  <c r="N62" i="61"/>
  <c r="L62" i="61"/>
  <c r="Z58" i="61"/>
  <c r="X58" i="61"/>
  <c r="T58" i="61"/>
  <c r="P58" i="61"/>
  <c r="N58" i="61"/>
  <c r="L58" i="61"/>
  <c r="H58" i="61"/>
  <c r="D58" i="61"/>
  <c r="X56" i="61"/>
  <c r="Z56" i="61" s="1"/>
  <c r="N56" i="61"/>
  <c r="L56" i="61"/>
  <c r="F56" i="61"/>
  <c r="B56" i="61"/>
  <c r="T55" i="61"/>
  <c r="R55" i="61"/>
  <c r="P55" i="61"/>
  <c r="H55" i="61"/>
  <c r="N55" i="61" s="1"/>
  <c r="F55" i="61"/>
  <c r="D55" i="61"/>
  <c r="B55" i="61"/>
  <c r="Z54" i="61"/>
  <c r="X54" i="61"/>
  <c r="N54" i="61"/>
  <c r="L54" i="61"/>
  <c r="B54" i="61"/>
  <c r="Z53" i="61"/>
  <c r="X53" i="61"/>
  <c r="N53" i="61"/>
  <c r="L53" i="61"/>
  <c r="B53" i="61"/>
  <c r="T52" i="61"/>
  <c r="Z52" i="61" s="1"/>
  <c r="P52" i="61"/>
  <c r="X52" i="61" s="1"/>
  <c r="H52" i="61"/>
  <c r="N52" i="61" s="1"/>
  <c r="D52" i="61"/>
  <c r="L52" i="61" s="1"/>
  <c r="B52" i="61"/>
  <c r="X51" i="61"/>
  <c r="Z51" i="61" s="1"/>
  <c r="V51" i="61"/>
  <c r="N51" i="61"/>
  <c r="L51" i="61"/>
  <c r="F51" i="61"/>
  <c r="B51" i="61"/>
  <c r="T50" i="61"/>
  <c r="P50" i="61"/>
  <c r="X50" i="61" s="1"/>
  <c r="Z50" i="61" s="1"/>
  <c r="H50" i="61"/>
  <c r="F50" i="61"/>
  <c r="D50" i="61"/>
  <c r="L50" i="61" s="1"/>
  <c r="N50" i="61" s="1"/>
  <c r="B50" i="61"/>
  <c r="X49" i="61"/>
  <c r="Z49" i="61" s="1"/>
  <c r="N49" i="61"/>
  <c r="L49" i="61"/>
  <c r="B49" i="61"/>
  <c r="Z48" i="61"/>
  <c r="X48" i="61"/>
  <c r="T48" i="61"/>
  <c r="P48" i="61"/>
  <c r="N48" i="61"/>
  <c r="L48" i="61"/>
  <c r="H48" i="61"/>
  <c r="D48" i="61"/>
  <c r="B48" i="61"/>
  <c r="Z47" i="61"/>
  <c r="X47" i="61"/>
  <c r="R47" i="61"/>
  <c r="L47" i="61"/>
  <c r="N47" i="61" s="1"/>
  <c r="B47" i="61"/>
  <c r="T46" i="61"/>
  <c r="P46" i="61"/>
  <c r="X46" i="61" s="1"/>
  <c r="H46" i="61"/>
  <c r="N46" i="61" s="1"/>
  <c r="D46" i="61"/>
  <c r="L46" i="61" s="1"/>
  <c r="B46" i="61"/>
  <c r="X45" i="61"/>
  <c r="Z45" i="61" s="1"/>
  <c r="N45" i="61"/>
  <c r="L45" i="61"/>
  <c r="F45" i="61"/>
  <c r="B45" i="61"/>
  <c r="T44" i="61"/>
  <c r="P44" i="61"/>
  <c r="X44" i="61" s="1"/>
  <c r="Z44" i="61" s="1"/>
  <c r="N44" i="61"/>
  <c r="H44" i="61"/>
  <c r="F44" i="61"/>
  <c r="D44" i="61"/>
  <c r="L44" i="61" s="1"/>
  <c r="B44" i="61"/>
  <c r="Z43" i="61"/>
  <c r="X43" i="61"/>
  <c r="N43" i="61"/>
  <c r="L43" i="61"/>
  <c r="F43" i="61"/>
  <c r="B43" i="61"/>
  <c r="Z42" i="61"/>
  <c r="X42" i="61"/>
  <c r="T42" i="61"/>
  <c r="P42" i="61"/>
  <c r="N42" i="61"/>
  <c r="L42" i="61"/>
  <c r="H42" i="61"/>
  <c r="F42" i="61"/>
  <c r="D42" i="61"/>
  <c r="B42" i="61"/>
  <c r="Z41" i="61"/>
  <c r="X41" i="61"/>
  <c r="L41" i="61"/>
  <c r="N41" i="61" s="1"/>
  <c r="B41" i="61"/>
  <c r="T40" i="61"/>
  <c r="P40" i="61"/>
  <c r="H40" i="61"/>
  <c r="D40" i="61"/>
  <c r="B40" i="61"/>
  <c r="Z39" i="61"/>
  <c r="X39" i="61"/>
  <c r="N39" i="61"/>
  <c r="L39" i="61"/>
  <c r="F39" i="61"/>
  <c r="B39" i="61"/>
  <c r="Z38" i="61"/>
  <c r="X38" i="61"/>
  <c r="V38" i="61"/>
  <c r="N38" i="61"/>
  <c r="L38" i="61"/>
  <c r="B38" i="61"/>
  <c r="X37" i="61"/>
  <c r="Z37" i="61" s="1"/>
  <c r="L37" i="61"/>
  <c r="N37" i="61" s="1"/>
  <c r="F37" i="61"/>
  <c r="B37" i="61"/>
  <c r="Z36" i="61"/>
  <c r="X36" i="61"/>
  <c r="N36" i="61"/>
  <c r="L36" i="61"/>
  <c r="B36" i="61"/>
  <c r="Z35" i="61"/>
  <c r="X35" i="61"/>
  <c r="V35" i="61"/>
  <c r="N35" i="61"/>
  <c r="L35" i="61"/>
  <c r="F35" i="61"/>
  <c r="B35" i="61"/>
  <c r="Z34" i="61"/>
  <c r="X34" i="61"/>
  <c r="V34" i="61"/>
  <c r="N34" i="61"/>
  <c r="L34" i="61"/>
  <c r="B34" i="61"/>
  <c r="X33" i="61"/>
  <c r="Z33" i="61" s="1"/>
  <c r="V33" i="61"/>
  <c r="L33" i="61"/>
  <c r="N33" i="61" s="1"/>
  <c r="F33" i="61"/>
  <c r="B33" i="61"/>
  <c r="Z32" i="61"/>
  <c r="X32" i="61"/>
  <c r="N32" i="61"/>
  <c r="L32" i="61"/>
  <c r="B32" i="61"/>
  <c r="Z31" i="61"/>
  <c r="X31" i="61"/>
  <c r="N31" i="61"/>
  <c r="L31" i="61"/>
  <c r="F31" i="61"/>
  <c r="B31" i="61"/>
  <c r="Z30" i="61"/>
  <c r="X30" i="61"/>
  <c r="N30" i="61"/>
  <c r="L30" i="61"/>
  <c r="B30" i="61"/>
  <c r="X29" i="61"/>
  <c r="T29" i="61"/>
  <c r="P29" i="61"/>
  <c r="L29" i="61"/>
  <c r="H29" i="61"/>
  <c r="D29" i="61"/>
  <c r="B29" i="61"/>
  <c r="X28" i="61"/>
  <c r="Z28" i="61" s="1"/>
  <c r="N28" i="61"/>
  <c r="L28" i="61"/>
  <c r="F28" i="61"/>
  <c r="B28" i="61"/>
  <c r="X27" i="61"/>
  <c r="Z27" i="61" s="1"/>
  <c r="N27" i="61"/>
  <c r="L27" i="61"/>
  <c r="F27" i="61"/>
  <c r="B27" i="61"/>
  <c r="Z26" i="61"/>
  <c r="X26" i="61"/>
  <c r="N26" i="61"/>
  <c r="L26" i="61"/>
  <c r="J26" i="61"/>
  <c r="F26" i="61"/>
  <c r="B26" i="61"/>
  <c r="Z25" i="61"/>
  <c r="X25" i="61"/>
  <c r="N25" i="61"/>
  <c r="L25" i="61"/>
  <c r="B25" i="61"/>
  <c r="Z24" i="61"/>
  <c r="X24" i="61"/>
  <c r="N24" i="61"/>
  <c r="L24" i="61"/>
  <c r="F24" i="61"/>
  <c r="B24" i="61"/>
  <c r="X23" i="61"/>
  <c r="Z23" i="61" s="1"/>
  <c r="N23" i="61"/>
  <c r="L23" i="61"/>
  <c r="F23" i="61"/>
  <c r="B23" i="61"/>
  <c r="Z22" i="61"/>
  <c r="X22" i="61"/>
  <c r="V22" i="61"/>
  <c r="L22" i="61"/>
  <c r="N22" i="61" s="1"/>
  <c r="J22" i="61"/>
  <c r="F22" i="61"/>
  <c r="B22" i="61"/>
  <c r="X21" i="61"/>
  <c r="Z21" i="61" s="1"/>
  <c r="L21" i="61"/>
  <c r="N21" i="61" s="1"/>
  <c r="B21" i="61"/>
  <c r="Z20" i="61"/>
  <c r="X20" i="61"/>
  <c r="V20" i="61"/>
  <c r="N20" i="61"/>
  <c r="L20" i="61"/>
  <c r="F20" i="61"/>
  <c r="B20" i="61"/>
  <c r="T19" i="61"/>
  <c r="P19" i="61"/>
  <c r="X19" i="61" s="1"/>
  <c r="H19" i="61"/>
  <c r="F19" i="61"/>
  <c r="D19" i="61"/>
  <c r="L19" i="61" s="1"/>
  <c r="B19" i="61"/>
  <c r="V18" i="61"/>
  <c r="T18" i="61"/>
  <c r="P18" i="61"/>
  <c r="X18" i="61" s="1"/>
  <c r="H18" i="61"/>
  <c r="F18" i="61"/>
  <c r="D18" i="61"/>
  <c r="F16" i="61"/>
  <c r="D16" i="61"/>
  <c r="V14" i="61"/>
  <c r="T14" i="61"/>
  <c r="P14" i="61"/>
  <c r="J14" i="61"/>
  <c r="H14" i="61"/>
  <c r="N14" i="61" s="1"/>
  <c r="F14" i="61"/>
  <c r="D14" i="61"/>
  <c r="T12" i="61"/>
  <c r="V64" i="61" s="1"/>
  <c r="P12" i="61"/>
  <c r="R60" i="61" s="1"/>
  <c r="H12" i="61"/>
  <c r="J53" i="61" s="1"/>
  <c r="D12" i="61"/>
  <c r="F38" i="61" s="1"/>
  <c r="D6" i="61"/>
  <c r="D4" i="61"/>
  <c r="J66" i="60"/>
  <c r="J63" i="60"/>
  <c r="Z61" i="60"/>
  <c r="X61" i="60"/>
  <c r="N61" i="60"/>
  <c r="L61" i="60"/>
  <c r="R59" i="60"/>
  <c r="Z57" i="60"/>
  <c r="T57" i="60"/>
  <c r="P57" i="60"/>
  <c r="J57" i="60"/>
  <c r="H57" i="60"/>
  <c r="N57" i="60" s="1"/>
  <c r="D57" i="60"/>
  <c r="Z55" i="60"/>
  <c r="X55" i="60"/>
  <c r="R55" i="60"/>
  <c r="L55" i="60"/>
  <c r="N55" i="60" s="1"/>
  <c r="B55" i="60"/>
  <c r="Z54" i="60"/>
  <c r="X54" i="60"/>
  <c r="V54" i="60"/>
  <c r="T54" i="60"/>
  <c r="P54" i="60"/>
  <c r="N54" i="60"/>
  <c r="L54" i="60"/>
  <c r="J54" i="60"/>
  <c r="H54" i="60"/>
  <c r="D54" i="60"/>
  <c r="B54" i="60"/>
  <c r="X53" i="60"/>
  <c r="Z53" i="60" s="1"/>
  <c r="N53" i="60"/>
  <c r="L53" i="60"/>
  <c r="B53" i="60"/>
  <c r="Z52" i="60"/>
  <c r="X52" i="60"/>
  <c r="N52" i="60"/>
  <c r="L52" i="60"/>
  <c r="B52" i="60"/>
  <c r="Z51" i="60"/>
  <c r="X51" i="60"/>
  <c r="N51" i="60"/>
  <c r="L51" i="60"/>
  <c r="B51" i="60"/>
  <c r="T50" i="60"/>
  <c r="P50" i="60"/>
  <c r="J50" i="60"/>
  <c r="H50" i="60"/>
  <c r="N50" i="60" s="1"/>
  <c r="D50" i="60"/>
  <c r="L50" i="60" s="1"/>
  <c r="B50" i="60"/>
  <c r="Z49" i="60"/>
  <c r="X49" i="60"/>
  <c r="V49" i="60"/>
  <c r="L49" i="60"/>
  <c r="N49" i="60" s="1"/>
  <c r="B49" i="60"/>
  <c r="T48" i="60"/>
  <c r="Z48" i="60" s="1"/>
  <c r="P48" i="60"/>
  <c r="X48" i="60" s="1"/>
  <c r="J48" i="60"/>
  <c r="H48" i="60"/>
  <c r="N48" i="60" s="1"/>
  <c r="D48" i="60"/>
  <c r="L48" i="60" s="1"/>
  <c r="B48" i="60"/>
  <c r="Z47" i="60"/>
  <c r="X47" i="60"/>
  <c r="N47" i="60"/>
  <c r="L47" i="60"/>
  <c r="J47" i="60"/>
  <c r="B47" i="60"/>
  <c r="X46" i="60"/>
  <c r="Z46" i="60" s="1"/>
  <c r="L46" i="60"/>
  <c r="N46" i="60" s="1"/>
  <c r="J46" i="60"/>
  <c r="F46" i="60"/>
  <c r="B46" i="60"/>
  <c r="X45" i="60"/>
  <c r="Z45" i="60" s="1"/>
  <c r="N45" i="60"/>
  <c r="L45" i="60"/>
  <c r="J45" i="60"/>
  <c r="B45" i="60"/>
  <c r="X44" i="60"/>
  <c r="Z44" i="60" s="1"/>
  <c r="T44" i="60"/>
  <c r="P44" i="60"/>
  <c r="L44" i="60"/>
  <c r="H44" i="60"/>
  <c r="N44" i="60" s="1"/>
  <c r="D44" i="60"/>
  <c r="B44" i="60"/>
  <c r="Z43" i="60"/>
  <c r="X43" i="60"/>
  <c r="L43" i="60"/>
  <c r="N43" i="60" s="1"/>
  <c r="J43" i="60"/>
  <c r="B43" i="60"/>
  <c r="T42" i="60"/>
  <c r="P42" i="60"/>
  <c r="J42" i="60"/>
  <c r="H42" i="60"/>
  <c r="D42" i="60"/>
  <c r="L42" i="60" s="1"/>
  <c r="B42" i="60"/>
  <c r="Z41" i="60"/>
  <c r="X41" i="60"/>
  <c r="V41" i="60"/>
  <c r="N41" i="60"/>
  <c r="L41" i="60"/>
  <c r="B41" i="60"/>
  <c r="T40" i="60"/>
  <c r="P40" i="60"/>
  <c r="X40" i="60" s="1"/>
  <c r="J40" i="60"/>
  <c r="H40" i="60"/>
  <c r="N40" i="60" s="1"/>
  <c r="D40" i="60"/>
  <c r="L40" i="60" s="1"/>
  <c r="B40" i="60"/>
  <c r="Z39" i="60"/>
  <c r="X39" i="60"/>
  <c r="N39" i="60"/>
  <c r="L39" i="60"/>
  <c r="J39" i="60"/>
  <c r="B39" i="60"/>
  <c r="Z38" i="60"/>
  <c r="X38" i="60"/>
  <c r="N38" i="60"/>
  <c r="L38" i="60"/>
  <c r="J38" i="60"/>
  <c r="F38" i="60"/>
  <c r="B38" i="60"/>
  <c r="Z37" i="60"/>
  <c r="X37" i="60"/>
  <c r="N37" i="60"/>
  <c r="L37" i="60"/>
  <c r="J37" i="60"/>
  <c r="B37" i="60"/>
  <c r="Z36" i="60"/>
  <c r="X36" i="60"/>
  <c r="N36" i="60"/>
  <c r="L36" i="60"/>
  <c r="J36" i="60"/>
  <c r="F36" i="60"/>
  <c r="B36" i="60"/>
  <c r="Z35" i="60"/>
  <c r="X35" i="60"/>
  <c r="N35" i="60"/>
  <c r="L35" i="60"/>
  <c r="J35" i="60"/>
  <c r="B35" i="60"/>
  <c r="Z34" i="60"/>
  <c r="X34" i="60"/>
  <c r="R34" i="60"/>
  <c r="N34" i="60"/>
  <c r="L34" i="60"/>
  <c r="J34" i="60"/>
  <c r="F34" i="60"/>
  <c r="B34" i="60"/>
  <c r="X33" i="60"/>
  <c r="Z33" i="60" s="1"/>
  <c r="N33" i="60"/>
  <c r="L33" i="60"/>
  <c r="J33" i="60"/>
  <c r="B33" i="60"/>
  <c r="Z32" i="60"/>
  <c r="X32" i="60"/>
  <c r="N32" i="60"/>
  <c r="L32" i="60"/>
  <c r="J32" i="60"/>
  <c r="F32" i="60"/>
  <c r="B32" i="60"/>
  <c r="Z31" i="60"/>
  <c r="X31" i="60"/>
  <c r="N31" i="60"/>
  <c r="L31" i="60"/>
  <c r="J31" i="60"/>
  <c r="B31" i="60"/>
  <c r="Z30" i="60"/>
  <c r="X30" i="60"/>
  <c r="R30" i="60"/>
  <c r="N30" i="60"/>
  <c r="L30" i="60"/>
  <c r="J30" i="60"/>
  <c r="F30" i="60"/>
  <c r="B30" i="60"/>
  <c r="X29" i="60"/>
  <c r="T29" i="60"/>
  <c r="Z29" i="60" s="1"/>
  <c r="R29" i="60"/>
  <c r="P29" i="60"/>
  <c r="J29" i="60"/>
  <c r="H29" i="60"/>
  <c r="L29" i="60" s="1"/>
  <c r="N29" i="60" s="1"/>
  <c r="F29" i="60"/>
  <c r="D29" i="60"/>
  <c r="B29" i="60"/>
  <c r="Z28" i="60"/>
  <c r="X28" i="60"/>
  <c r="R28" i="60"/>
  <c r="N28" i="60"/>
  <c r="L28" i="60"/>
  <c r="J28" i="60"/>
  <c r="B28" i="60"/>
  <c r="Z27" i="60"/>
  <c r="X27" i="60"/>
  <c r="L27" i="60"/>
  <c r="N27" i="60" s="1"/>
  <c r="J27" i="60"/>
  <c r="B27" i="60"/>
  <c r="X26" i="60"/>
  <c r="Z26" i="60" s="1"/>
  <c r="R26" i="60"/>
  <c r="L26" i="60"/>
  <c r="N26" i="60" s="1"/>
  <c r="J26" i="60"/>
  <c r="B26" i="60"/>
  <c r="Z25" i="60"/>
  <c r="X25" i="60"/>
  <c r="V25" i="60"/>
  <c r="N25" i="60"/>
  <c r="L25" i="60"/>
  <c r="J25" i="60"/>
  <c r="B25" i="60"/>
  <c r="Z24" i="60"/>
  <c r="X24" i="60"/>
  <c r="R24" i="60"/>
  <c r="N24" i="60"/>
  <c r="L24" i="60"/>
  <c r="J24" i="60"/>
  <c r="B24" i="60"/>
  <c r="Z23" i="60"/>
  <c r="X23" i="60"/>
  <c r="L23" i="60"/>
  <c r="N23" i="60" s="1"/>
  <c r="J23" i="60"/>
  <c r="B23" i="60"/>
  <c r="X22" i="60"/>
  <c r="Z22" i="60" s="1"/>
  <c r="R22" i="60"/>
  <c r="L22" i="60"/>
  <c r="N22" i="60" s="1"/>
  <c r="J22" i="60"/>
  <c r="B22" i="60"/>
  <c r="Z21" i="60"/>
  <c r="X21" i="60"/>
  <c r="V21" i="60"/>
  <c r="N21" i="60"/>
  <c r="L21" i="60"/>
  <c r="J21" i="60"/>
  <c r="B21" i="60"/>
  <c r="Z20" i="60"/>
  <c r="X20" i="60"/>
  <c r="R20" i="60"/>
  <c r="L20" i="60"/>
  <c r="N20" i="60" s="1"/>
  <c r="J20" i="60"/>
  <c r="B20" i="60"/>
  <c r="T19" i="60"/>
  <c r="P19" i="60"/>
  <c r="X19" i="60" s="1"/>
  <c r="Z19" i="60" s="1"/>
  <c r="J19" i="60"/>
  <c r="H19" i="60"/>
  <c r="D19" i="60"/>
  <c r="L19" i="60" s="1"/>
  <c r="N19" i="60" s="1"/>
  <c r="B19" i="60"/>
  <c r="T18" i="60"/>
  <c r="P18" i="60"/>
  <c r="X18" i="60" s="1"/>
  <c r="J18" i="60"/>
  <c r="H18" i="60"/>
  <c r="N18" i="60" s="1"/>
  <c r="D18" i="60"/>
  <c r="L18" i="60" s="1"/>
  <c r="J16" i="60"/>
  <c r="T14" i="60"/>
  <c r="Z14" i="60" s="1"/>
  <c r="P14" i="60"/>
  <c r="X14" i="60" s="1"/>
  <c r="J14" i="60"/>
  <c r="H14" i="60"/>
  <c r="H16" i="60" s="1"/>
  <c r="D14" i="60"/>
  <c r="L14" i="60" s="1"/>
  <c r="T12" i="60"/>
  <c r="V45" i="60" s="1"/>
  <c r="P12" i="60"/>
  <c r="R45" i="60" s="1"/>
  <c r="N12" i="60"/>
  <c r="L12" i="60"/>
  <c r="H12" i="60"/>
  <c r="D12" i="60"/>
  <c r="F45" i="60" s="1"/>
  <c r="D6" i="60"/>
  <c r="D4" i="60"/>
  <c r="Z73" i="59"/>
  <c r="X73" i="59"/>
  <c r="N73" i="59"/>
  <c r="L73" i="59"/>
  <c r="F73" i="59"/>
  <c r="T69" i="59"/>
  <c r="Z69" i="59" s="1"/>
  <c r="P69" i="59"/>
  <c r="X69" i="59" s="1"/>
  <c r="H69" i="59"/>
  <c r="N69" i="59" s="1"/>
  <c r="D69" i="59"/>
  <c r="L69" i="59" s="1"/>
  <c r="X67" i="59"/>
  <c r="Z67" i="59" s="1"/>
  <c r="L67" i="59"/>
  <c r="N67" i="59" s="1"/>
  <c r="B67" i="59"/>
  <c r="Z66" i="59"/>
  <c r="X66" i="59"/>
  <c r="V66" i="59"/>
  <c r="T66" i="59"/>
  <c r="P66" i="59"/>
  <c r="J66" i="59"/>
  <c r="H66" i="59"/>
  <c r="D66" i="59"/>
  <c r="L66" i="59" s="1"/>
  <c r="N66" i="59" s="1"/>
  <c r="B66" i="59"/>
  <c r="Z65" i="59"/>
  <c r="X65" i="59"/>
  <c r="N65" i="59"/>
  <c r="L65" i="59"/>
  <c r="F65" i="59"/>
  <c r="B65" i="59"/>
  <c r="X64" i="59"/>
  <c r="T64" i="59"/>
  <c r="Z64" i="59" s="1"/>
  <c r="R64" i="59"/>
  <c r="P64" i="59"/>
  <c r="N64" i="59"/>
  <c r="H64" i="59"/>
  <c r="L64" i="59" s="1"/>
  <c r="F64" i="59"/>
  <c r="D64" i="59"/>
  <c r="B64" i="59"/>
  <c r="X63" i="59"/>
  <c r="Z63" i="59" s="1"/>
  <c r="R63" i="59"/>
  <c r="L63" i="59"/>
  <c r="N63" i="59" s="1"/>
  <c r="B63" i="59"/>
  <c r="Z62" i="59"/>
  <c r="X62" i="59"/>
  <c r="N62" i="59"/>
  <c r="L62" i="59"/>
  <c r="J62" i="59"/>
  <c r="B62" i="59"/>
  <c r="T61" i="59"/>
  <c r="P61" i="59"/>
  <c r="H61" i="59"/>
  <c r="D61" i="59"/>
  <c r="L61" i="59" s="1"/>
  <c r="B61" i="59"/>
  <c r="Z60" i="59"/>
  <c r="X60" i="59"/>
  <c r="V60" i="59"/>
  <c r="L60" i="59"/>
  <c r="N60" i="59" s="1"/>
  <c r="B60" i="59"/>
  <c r="T59" i="59"/>
  <c r="Z59" i="59" s="1"/>
  <c r="P59" i="59"/>
  <c r="X59" i="59" s="1"/>
  <c r="H59" i="59"/>
  <c r="D59" i="59"/>
  <c r="L59" i="59" s="1"/>
  <c r="B59" i="59"/>
  <c r="Z58" i="59"/>
  <c r="X58" i="59"/>
  <c r="N58" i="59"/>
  <c r="L58" i="59"/>
  <c r="B58" i="59"/>
  <c r="X57" i="59"/>
  <c r="Z57" i="59" s="1"/>
  <c r="N57" i="59"/>
  <c r="L57" i="59"/>
  <c r="F57" i="59"/>
  <c r="B57" i="59"/>
  <c r="X56" i="59"/>
  <c r="T56" i="59"/>
  <c r="Z56" i="59" s="1"/>
  <c r="R56" i="59"/>
  <c r="P56" i="59"/>
  <c r="H56" i="59"/>
  <c r="L56" i="59" s="1"/>
  <c r="N56" i="59" s="1"/>
  <c r="F56" i="59"/>
  <c r="D56" i="59"/>
  <c r="B56" i="59"/>
  <c r="X55" i="59"/>
  <c r="Z55" i="59" s="1"/>
  <c r="R55" i="59"/>
  <c r="L55" i="59"/>
  <c r="N55" i="59" s="1"/>
  <c r="B55" i="59"/>
  <c r="Z54" i="59"/>
  <c r="X54" i="59"/>
  <c r="N54" i="59"/>
  <c r="L54" i="59"/>
  <c r="J54" i="59"/>
  <c r="B54" i="59"/>
  <c r="X53" i="59"/>
  <c r="Z53" i="59" s="1"/>
  <c r="R53" i="59"/>
  <c r="L53" i="59"/>
  <c r="N53" i="59" s="1"/>
  <c r="B53" i="59"/>
  <c r="T52" i="59"/>
  <c r="P52" i="59"/>
  <c r="X52" i="59" s="1"/>
  <c r="Z52" i="59" s="1"/>
  <c r="H52" i="59"/>
  <c r="D52" i="59"/>
  <c r="L52" i="59" s="1"/>
  <c r="N52" i="59" s="1"/>
  <c r="B52" i="59"/>
  <c r="X51" i="59"/>
  <c r="Z51" i="59" s="1"/>
  <c r="L51" i="59"/>
  <c r="N51" i="59" s="1"/>
  <c r="B51" i="59"/>
  <c r="Z50" i="59"/>
  <c r="X50" i="59"/>
  <c r="V50" i="59"/>
  <c r="T50" i="59"/>
  <c r="P50" i="59"/>
  <c r="J50" i="59"/>
  <c r="H50" i="59"/>
  <c r="D50" i="59"/>
  <c r="L50" i="59" s="1"/>
  <c r="N50" i="59" s="1"/>
  <c r="B50" i="59"/>
  <c r="X49" i="59"/>
  <c r="Z49" i="59" s="1"/>
  <c r="N49" i="59"/>
  <c r="L49" i="59"/>
  <c r="F49" i="59"/>
  <c r="B49" i="59"/>
  <c r="X48" i="59"/>
  <c r="T48" i="59"/>
  <c r="Z48" i="59" s="1"/>
  <c r="R48" i="59"/>
  <c r="P48" i="59"/>
  <c r="N48" i="59"/>
  <c r="J48" i="59"/>
  <c r="H48" i="59"/>
  <c r="L48" i="59" s="1"/>
  <c r="F48" i="59"/>
  <c r="D48" i="59"/>
  <c r="B48" i="59"/>
  <c r="Z47" i="59"/>
  <c r="X47" i="59"/>
  <c r="R47" i="59"/>
  <c r="N47" i="59"/>
  <c r="L47" i="59"/>
  <c r="B47" i="59"/>
  <c r="Z46" i="59"/>
  <c r="T46" i="59"/>
  <c r="P46" i="59"/>
  <c r="X46" i="59" s="1"/>
  <c r="N46" i="59"/>
  <c r="J46" i="59"/>
  <c r="H46" i="59"/>
  <c r="D46" i="59"/>
  <c r="L46" i="59" s="1"/>
  <c r="B46" i="59"/>
  <c r="X45" i="59"/>
  <c r="Z45" i="59" s="1"/>
  <c r="N45" i="59"/>
  <c r="L45" i="59"/>
  <c r="B45" i="59"/>
  <c r="Z44" i="59"/>
  <c r="X44" i="59"/>
  <c r="V44" i="59"/>
  <c r="L44" i="59"/>
  <c r="N44" i="59" s="1"/>
  <c r="B44" i="59"/>
  <c r="T43" i="59"/>
  <c r="Z43" i="59" s="1"/>
  <c r="P43" i="59"/>
  <c r="X43" i="59" s="1"/>
  <c r="H43" i="59"/>
  <c r="D43" i="59"/>
  <c r="L43" i="59" s="1"/>
  <c r="B43" i="59"/>
  <c r="Z42" i="59"/>
  <c r="X42" i="59"/>
  <c r="N42" i="59"/>
  <c r="L42" i="59"/>
  <c r="B42" i="59"/>
  <c r="X41" i="59"/>
  <c r="T41" i="59"/>
  <c r="Z41" i="59" s="1"/>
  <c r="P41" i="59"/>
  <c r="N41" i="59"/>
  <c r="L41" i="59"/>
  <c r="H41" i="59"/>
  <c r="D41" i="59"/>
  <c r="B41" i="59"/>
  <c r="Z40" i="59"/>
  <c r="X40" i="59"/>
  <c r="N40" i="59"/>
  <c r="L40" i="59"/>
  <c r="J40" i="59"/>
  <c r="B40" i="59"/>
  <c r="Z39" i="59"/>
  <c r="X39" i="59"/>
  <c r="R39" i="59"/>
  <c r="N39" i="59"/>
  <c r="L39" i="59"/>
  <c r="F39" i="59"/>
  <c r="B39" i="59"/>
  <c r="Z38" i="59"/>
  <c r="X38" i="59"/>
  <c r="N38" i="59"/>
  <c r="L38" i="59"/>
  <c r="J38" i="59"/>
  <c r="B38" i="59"/>
  <c r="Z37" i="59"/>
  <c r="X37" i="59"/>
  <c r="R37" i="59"/>
  <c r="N37" i="59"/>
  <c r="L37" i="59"/>
  <c r="B37" i="59"/>
  <c r="Z36" i="59"/>
  <c r="X36" i="59"/>
  <c r="N36" i="59"/>
  <c r="L36" i="59"/>
  <c r="J36" i="59"/>
  <c r="B36" i="59"/>
  <c r="Z35" i="59"/>
  <c r="X35" i="59"/>
  <c r="R35" i="59"/>
  <c r="N35" i="59"/>
  <c r="L35" i="59"/>
  <c r="F35" i="59"/>
  <c r="B35" i="59"/>
  <c r="Z34" i="59"/>
  <c r="X34" i="59"/>
  <c r="N34" i="59"/>
  <c r="L34" i="59"/>
  <c r="J34" i="59"/>
  <c r="B34" i="59"/>
  <c r="Z33" i="59"/>
  <c r="X33" i="59"/>
  <c r="R33" i="59"/>
  <c r="N33" i="59"/>
  <c r="L33" i="59"/>
  <c r="B33" i="59"/>
  <c r="Z32" i="59"/>
  <c r="X32" i="59"/>
  <c r="N32" i="59"/>
  <c r="L32" i="59"/>
  <c r="J32" i="59"/>
  <c r="B32" i="59"/>
  <c r="Z31" i="59"/>
  <c r="X31" i="59"/>
  <c r="R31" i="59"/>
  <c r="N31" i="59"/>
  <c r="L31" i="59"/>
  <c r="F31" i="59"/>
  <c r="B31" i="59"/>
  <c r="T30" i="59"/>
  <c r="P30" i="59"/>
  <c r="X30" i="59" s="1"/>
  <c r="Z30" i="59" s="1"/>
  <c r="N30" i="59"/>
  <c r="J30" i="59"/>
  <c r="H30" i="59"/>
  <c r="F30" i="59"/>
  <c r="D30" i="59"/>
  <c r="L30" i="59" s="1"/>
  <c r="B30" i="59"/>
  <c r="X29" i="59"/>
  <c r="Z29" i="59" s="1"/>
  <c r="L29" i="59"/>
  <c r="N29" i="59" s="1"/>
  <c r="F29" i="59"/>
  <c r="B29" i="59"/>
  <c r="Z28" i="59"/>
  <c r="X28" i="59"/>
  <c r="V28" i="59"/>
  <c r="L28" i="59"/>
  <c r="N28" i="59" s="1"/>
  <c r="B28" i="59"/>
  <c r="X27" i="59"/>
  <c r="Z27" i="59" s="1"/>
  <c r="L27" i="59"/>
  <c r="N27" i="59" s="1"/>
  <c r="B27" i="59"/>
  <c r="Z26" i="59"/>
  <c r="X26" i="59"/>
  <c r="V26" i="59"/>
  <c r="N26" i="59"/>
  <c r="L26" i="59"/>
  <c r="J26" i="59"/>
  <c r="B26" i="59"/>
  <c r="X25" i="59"/>
  <c r="Z25" i="59" s="1"/>
  <c r="L25" i="59"/>
  <c r="N25" i="59" s="1"/>
  <c r="F25" i="59"/>
  <c r="B25" i="59"/>
  <c r="Z24" i="59"/>
  <c r="X24" i="59"/>
  <c r="V24" i="59"/>
  <c r="L24" i="59"/>
  <c r="N24" i="59" s="1"/>
  <c r="J24" i="59"/>
  <c r="B24" i="59"/>
  <c r="X23" i="59"/>
  <c r="Z23" i="59" s="1"/>
  <c r="L23" i="59"/>
  <c r="N23" i="59" s="1"/>
  <c r="B23" i="59"/>
  <c r="Z22" i="59"/>
  <c r="X22" i="59"/>
  <c r="V22" i="59"/>
  <c r="N22" i="59"/>
  <c r="L22" i="59"/>
  <c r="J22" i="59"/>
  <c r="B22" i="59"/>
  <c r="X21" i="59"/>
  <c r="Z21" i="59" s="1"/>
  <c r="L21" i="59"/>
  <c r="N21" i="59" s="1"/>
  <c r="F21" i="59"/>
  <c r="B21" i="59"/>
  <c r="Z20" i="59"/>
  <c r="X20" i="59"/>
  <c r="V20" i="59"/>
  <c r="L20" i="59"/>
  <c r="N20" i="59" s="1"/>
  <c r="J20" i="59"/>
  <c r="B20" i="59"/>
  <c r="T19" i="59"/>
  <c r="Z19" i="59" s="1"/>
  <c r="P19" i="59"/>
  <c r="X19" i="59" s="1"/>
  <c r="J19" i="59"/>
  <c r="H19" i="59"/>
  <c r="N19" i="59" s="1"/>
  <c r="D19" i="59"/>
  <c r="L19" i="59" s="1"/>
  <c r="B19" i="59"/>
  <c r="T18" i="59"/>
  <c r="X18" i="59" s="1"/>
  <c r="Z18" i="59" s="1"/>
  <c r="R18" i="59"/>
  <c r="P18" i="59"/>
  <c r="J18" i="59"/>
  <c r="H18" i="59"/>
  <c r="F18" i="59"/>
  <c r="D18" i="59"/>
  <c r="R16" i="59"/>
  <c r="J16" i="59"/>
  <c r="F16" i="59"/>
  <c r="Z14" i="59"/>
  <c r="T14" i="59"/>
  <c r="X14" i="59" s="1"/>
  <c r="R14" i="59"/>
  <c r="P14" i="59"/>
  <c r="J14" i="59"/>
  <c r="H14" i="59"/>
  <c r="N14" i="59" s="1"/>
  <c r="F14" i="59"/>
  <c r="D14" i="59"/>
  <c r="Z12" i="59"/>
  <c r="T12" i="59"/>
  <c r="V52" i="59" s="1"/>
  <c r="P12" i="59"/>
  <c r="R66" i="59" s="1"/>
  <c r="N12" i="59"/>
  <c r="H12" i="59"/>
  <c r="J63" i="59" s="1"/>
  <c r="D12" i="59"/>
  <c r="F45" i="59" s="1"/>
  <c r="D6" i="59"/>
  <c r="D4" i="59"/>
  <c r="Z78" i="58"/>
  <c r="X78" i="58"/>
  <c r="N78" i="58"/>
  <c r="L78" i="58"/>
  <c r="J78" i="58"/>
  <c r="R76" i="58"/>
  <c r="F76" i="58"/>
  <c r="T74" i="58"/>
  <c r="Z74" i="58" s="1"/>
  <c r="R74" i="58"/>
  <c r="P74" i="58"/>
  <c r="N74" i="58"/>
  <c r="H74" i="58"/>
  <c r="L74" i="58" s="1"/>
  <c r="F74" i="58"/>
  <c r="D74" i="58"/>
  <c r="Z72" i="58"/>
  <c r="X72" i="58"/>
  <c r="N72" i="58"/>
  <c r="L72" i="58"/>
  <c r="B72" i="58"/>
  <c r="Z71" i="58"/>
  <c r="X71" i="58"/>
  <c r="T71" i="58"/>
  <c r="P71" i="58"/>
  <c r="L71" i="58"/>
  <c r="H71" i="58"/>
  <c r="N71" i="58" s="1"/>
  <c r="D71" i="58"/>
  <c r="B71" i="58"/>
  <c r="Z70" i="58"/>
  <c r="X70" i="58"/>
  <c r="L70" i="58"/>
  <c r="N70" i="58" s="1"/>
  <c r="J70" i="58"/>
  <c r="B70" i="58"/>
  <c r="T69" i="58"/>
  <c r="P69" i="58"/>
  <c r="H69" i="58"/>
  <c r="D69" i="58"/>
  <c r="L69" i="58" s="1"/>
  <c r="B69" i="58"/>
  <c r="Z68" i="58"/>
  <c r="X68" i="58"/>
  <c r="V68" i="58"/>
  <c r="L68" i="58"/>
  <c r="N68" i="58" s="1"/>
  <c r="B68" i="58"/>
  <c r="T67" i="58"/>
  <c r="P67" i="58"/>
  <c r="X67" i="58" s="1"/>
  <c r="H67" i="58"/>
  <c r="N67" i="58" s="1"/>
  <c r="D67" i="58"/>
  <c r="L67" i="58" s="1"/>
  <c r="B67" i="58"/>
  <c r="Z66" i="58"/>
  <c r="X66" i="58"/>
  <c r="N66" i="58"/>
  <c r="L66" i="58"/>
  <c r="B66" i="58"/>
  <c r="X65" i="58"/>
  <c r="Z65" i="58" s="1"/>
  <c r="L65" i="58"/>
  <c r="N65" i="58" s="1"/>
  <c r="F65" i="58"/>
  <c r="B65" i="58"/>
  <c r="X64" i="58"/>
  <c r="Z64" i="58" s="1"/>
  <c r="N64" i="58"/>
  <c r="L64" i="58"/>
  <c r="B64" i="58"/>
  <c r="X63" i="58"/>
  <c r="Z63" i="58" s="1"/>
  <c r="T63" i="58"/>
  <c r="P63" i="58"/>
  <c r="L63" i="58"/>
  <c r="H63" i="58"/>
  <c r="N63" i="58" s="1"/>
  <c r="D63" i="58"/>
  <c r="B63" i="58"/>
  <c r="Z62" i="58"/>
  <c r="X62" i="58"/>
  <c r="L62" i="58"/>
  <c r="N62" i="58" s="1"/>
  <c r="J62" i="58"/>
  <c r="B62" i="58"/>
  <c r="T61" i="58"/>
  <c r="P61" i="58"/>
  <c r="H61" i="58"/>
  <c r="D61" i="58"/>
  <c r="B61" i="58"/>
  <c r="Z60" i="58"/>
  <c r="X60" i="58"/>
  <c r="V60" i="58"/>
  <c r="N60" i="58"/>
  <c r="L60" i="58"/>
  <c r="B60" i="58"/>
  <c r="X59" i="58"/>
  <c r="Z59" i="58" s="1"/>
  <c r="L59" i="58"/>
  <c r="N59" i="58" s="1"/>
  <c r="B59" i="58"/>
  <c r="X58" i="58"/>
  <c r="Z58" i="58" s="1"/>
  <c r="V58" i="58"/>
  <c r="T58" i="58"/>
  <c r="P58" i="58"/>
  <c r="N58" i="58"/>
  <c r="L58" i="58"/>
  <c r="J58" i="58"/>
  <c r="H58" i="58"/>
  <c r="D58" i="58"/>
  <c r="B58" i="58"/>
  <c r="X57" i="58"/>
  <c r="Z57" i="58" s="1"/>
  <c r="L57" i="58"/>
  <c r="N57" i="58" s="1"/>
  <c r="F57" i="58"/>
  <c r="B57" i="58"/>
  <c r="X56" i="58"/>
  <c r="Z56" i="58" s="1"/>
  <c r="N56" i="58"/>
  <c r="L56" i="58"/>
  <c r="B56" i="58"/>
  <c r="Z55" i="58"/>
  <c r="X55" i="58"/>
  <c r="N55" i="58"/>
  <c r="L55" i="58"/>
  <c r="F55" i="58"/>
  <c r="B55" i="58"/>
  <c r="T54" i="58"/>
  <c r="X54" i="58" s="1"/>
  <c r="Z54" i="58" s="1"/>
  <c r="R54" i="58"/>
  <c r="P54" i="58"/>
  <c r="H54" i="58"/>
  <c r="F54" i="58"/>
  <c r="D54" i="58"/>
  <c r="B54" i="58"/>
  <c r="X53" i="58"/>
  <c r="Z53" i="58" s="1"/>
  <c r="R53" i="58"/>
  <c r="L53" i="58"/>
  <c r="N53" i="58" s="1"/>
  <c r="B53" i="58"/>
  <c r="Z52" i="58"/>
  <c r="X52" i="58"/>
  <c r="N52" i="58"/>
  <c r="L52" i="58"/>
  <c r="J52" i="58"/>
  <c r="B52" i="58"/>
  <c r="T51" i="58"/>
  <c r="P51" i="58"/>
  <c r="X51" i="58" s="1"/>
  <c r="H51" i="58"/>
  <c r="D51" i="58"/>
  <c r="B51" i="58"/>
  <c r="X50" i="58"/>
  <c r="Z50" i="58" s="1"/>
  <c r="V50" i="58"/>
  <c r="N50" i="58"/>
  <c r="L50" i="58"/>
  <c r="B50" i="58"/>
  <c r="T49" i="58"/>
  <c r="Z49" i="58" s="1"/>
  <c r="P49" i="58"/>
  <c r="X49" i="58" s="1"/>
  <c r="H49" i="58"/>
  <c r="D49" i="58"/>
  <c r="L49" i="58" s="1"/>
  <c r="B49" i="58"/>
  <c r="X48" i="58"/>
  <c r="Z48" i="58" s="1"/>
  <c r="N48" i="58"/>
  <c r="L48" i="58"/>
  <c r="J48" i="58"/>
  <c r="B48" i="58"/>
  <c r="X47" i="58"/>
  <c r="Z47" i="58" s="1"/>
  <c r="T47" i="58"/>
  <c r="P47" i="58"/>
  <c r="L47" i="58"/>
  <c r="H47" i="58"/>
  <c r="N47" i="58" s="1"/>
  <c r="D47" i="58"/>
  <c r="B47" i="58"/>
  <c r="Z46" i="58"/>
  <c r="X46" i="58"/>
  <c r="L46" i="58"/>
  <c r="N46" i="58" s="1"/>
  <c r="J46" i="58"/>
  <c r="B46" i="58"/>
  <c r="T45" i="58"/>
  <c r="P45" i="58"/>
  <c r="H45" i="58"/>
  <c r="D45" i="58"/>
  <c r="B45" i="58"/>
  <c r="Z44" i="58"/>
  <c r="X44" i="58"/>
  <c r="V44" i="58"/>
  <c r="L44" i="58"/>
  <c r="N44" i="58" s="1"/>
  <c r="B44" i="58"/>
  <c r="T43" i="58"/>
  <c r="P43" i="58"/>
  <c r="X43" i="58" s="1"/>
  <c r="H43" i="58"/>
  <c r="D43" i="58"/>
  <c r="L43" i="58" s="1"/>
  <c r="B43" i="58"/>
  <c r="Z42" i="58"/>
  <c r="X42" i="58"/>
  <c r="N42" i="58"/>
  <c r="L42" i="58"/>
  <c r="B42" i="58"/>
  <c r="X41" i="58"/>
  <c r="T41" i="58"/>
  <c r="Z41" i="58" s="1"/>
  <c r="P41" i="58"/>
  <c r="L41" i="58"/>
  <c r="N41" i="58" s="1"/>
  <c r="H41" i="58"/>
  <c r="D41" i="58"/>
  <c r="B41" i="58"/>
  <c r="Z40" i="58"/>
  <c r="X40" i="58"/>
  <c r="N40" i="58"/>
  <c r="L40" i="58"/>
  <c r="J40" i="58"/>
  <c r="B40" i="58"/>
  <c r="Z39" i="58"/>
  <c r="X39" i="58"/>
  <c r="R39" i="58"/>
  <c r="N39" i="58"/>
  <c r="L39" i="58"/>
  <c r="F39" i="58"/>
  <c r="B39" i="58"/>
  <c r="Z38" i="58"/>
  <c r="X38" i="58"/>
  <c r="N38" i="58"/>
  <c r="L38" i="58"/>
  <c r="J38" i="58"/>
  <c r="B38" i="58"/>
  <c r="Z37" i="58"/>
  <c r="X37" i="58"/>
  <c r="R37" i="58"/>
  <c r="N37" i="58"/>
  <c r="L37" i="58"/>
  <c r="B37" i="58"/>
  <c r="Z36" i="58"/>
  <c r="X36" i="58"/>
  <c r="N36" i="58"/>
  <c r="L36" i="58"/>
  <c r="J36" i="58"/>
  <c r="B36" i="58"/>
  <c r="X35" i="58"/>
  <c r="Z35" i="58" s="1"/>
  <c r="R35" i="58"/>
  <c r="L35" i="58"/>
  <c r="N35" i="58" s="1"/>
  <c r="F35" i="58"/>
  <c r="B35" i="58"/>
  <c r="Z34" i="58"/>
  <c r="X34" i="58"/>
  <c r="L34" i="58"/>
  <c r="N34" i="58" s="1"/>
  <c r="J34" i="58"/>
  <c r="B34" i="58"/>
  <c r="Z33" i="58"/>
  <c r="X33" i="58"/>
  <c r="R33" i="58"/>
  <c r="N33" i="58"/>
  <c r="L33" i="58"/>
  <c r="B33" i="58"/>
  <c r="Z32" i="58"/>
  <c r="X32" i="58"/>
  <c r="N32" i="58"/>
  <c r="L32" i="58"/>
  <c r="J32" i="58"/>
  <c r="B32" i="58"/>
  <c r="X31" i="58"/>
  <c r="Z31" i="58" s="1"/>
  <c r="R31" i="58"/>
  <c r="L31" i="58"/>
  <c r="N31" i="58" s="1"/>
  <c r="F31" i="58"/>
  <c r="B31" i="58"/>
  <c r="T30" i="58"/>
  <c r="P30" i="58"/>
  <c r="X30" i="58" s="1"/>
  <c r="Z30" i="58" s="1"/>
  <c r="N30" i="58"/>
  <c r="J30" i="58"/>
  <c r="H30" i="58"/>
  <c r="F30" i="58"/>
  <c r="D30" i="58"/>
  <c r="L30" i="58" s="1"/>
  <c r="B30" i="58"/>
  <c r="X29" i="58"/>
  <c r="Z29" i="58" s="1"/>
  <c r="L29" i="58"/>
  <c r="N29" i="58" s="1"/>
  <c r="F29" i="58"/>
  <c r="B29" i="58"/>
  <c r="Z28" i="58"/>
  <c r="X28" i="58"/>
  <c r="V28" i="58"/>
  <c r="N28" i="58"/>
  <c r="L28" i="58"/>
  <c r="F28" i="58"/>
  <c r="B28" i="58"/>
  <c r="X27" i="58"/>
  <c r="Z27" i="58" s="1"/>
  <c r="L27" i="58"/>
  <c r="N27" i="58" s="1"/>
  <c r="B27" i="58"/>
  <c r="Z26" i="58"/>
  <c r="X26" i="58"/>
  <c r="V26" i="58"/>
  <c r="N26" i="58"/>
  <c r="L26" i="58"/>
  <c r="J26" i="58"/>
  <c r="F26" i="58"/>
  <c r="B26" i="58"/>
  <c r="Z25" i="58"/>
  <c r="X25" i="58"/>
  <c r="N25" i="58"/>
  <c r="L25" i="58"/>
  <c r="F25" i="58"/>
  <c r="B25" i="58"/>
  <c r="Z24" i="58"/>
  <c r="X24" i="58"/>
  <c r="V24" i="58"/>
  <c r="N24" i="58"/>
  <c r="L24" i="58"/>
  <c r="F24" i="58"/>
  <c r="B24" i="58"/>
  <c r="X23" i="58"/>
  <c r="Z23" i="58" s="1"/>
  <c r="L23" i="58"/>
  <c r="N23" i="58" s="1"/>
  <c r="B23" i="58"/>
  <c r="X22" i="58"/>
  <c r="Z22" i="58" s="1"/>
  <c r="V22" i="58"/>
  <c r="N22" i="58"/>
  <c r="L22" i="58"/>
  <c r="J22" i="58"/>
  <c r="F22" i="58"/>
  <c r="B22" i="58"/>
  <c r="X21" i="58"/>
  <c r="Z21" i="58" s="1"/>
  <c r="L21" i="58"/>
  <c r="N21" i="58" s="1"/>
  <c r="F21" i="58"/>
  <c r="B21" i="58"/>
  <c r="Z20" i="58"/>
  <c r="X20" i="58"/>
  <c r="V20" i="58"/>
  <c r="L20" i="58"/>
  <c r="N20" i="58" s="1"/>
  <c r="J20" i="58"/>
  <c r="F20" i="58"/>
  <c r="B20" i="58"/>
  <c r="T19" i="58"/>
  <c r="P19" i="58"/>
  <c r="X19" i="58" s="1"/>
  <c r="H19" i="58"/>
  <c r="N19" i="58" s="1"/>
  <c r="F19" i="58"/>
  <c r="D19" i="58"/>
  <c r="L19" i="58" s="1"/>
  <c r="B19" i="58"/>
  <c r="T18" i="58"/>
  <c r="R18" i="58"/>
  <c r="P18" i="58"/>
  <c r="X18" i="58" s="1"/>
  <c r="J18" i="58"/>
  <c r="H18" i="58"/>
  <c r="F18" i="58"/>
  <c r="D18" i="58"/>
  <c r="R16" i="58"/>
  <c r="J16" i="58"/>
  <c r="F16" i="58"/>
  <c r="T14" i="58"/>
  <c r="Z14" i="58" s="1"/>
  <c r="R14" i="58"/>
  <c r="P14" i="58"/>
  <c r="X14" i="58" s="1"/>
  <c r="J14" i="58"/>
  <c r="H14" i="58"/>
  <c r="N14" i="58" s="1"/>
  <c r="F14" i="58"/>
  <c r="D14" i="58"/>
  <c r="Z12" i="58"/>
  <c r="T12" i="58"/>
  <c r="V83" i="58" s="1"/>
  <c r="P12" i="58"/>
  <c r="R65" i="58" s="1"/>
  <c r="N12" i="58"/>
  <c r="H12" i="58"/>
  <c r="J72" i="58" s="1"/>
  <c r="D12" i="58"/>
  <c r="F72" i="58" s="1"/>
  <c r="D6" i="58"/>
  <c r="D4" i="58"/>
  <c r="Z76" i="57"/>
  <c r="X76" i="57"/>
  <c r="N76" i="57"/>
  <c r="L76" i="57"/>
  <c r="J76" i="57"/>
  <c r="F74" i="57"/>
  <c r="Z72" i="57"/>
  <c r="P72" i="57"/>
  <c r="X72" i="57" s="1"/>
  <c r="N72" i="57"/>
  <c r="D72" i="57"/>
  <c r="L72" i="57" s="1"/>
  <c r="B72" i="57"/>
  <c r="Z71" i="57"/>
  <c r="P71" i="57"/>
  <c r="X71" i="57" s="1"/>
  <c r="N71" i="57"/>
  <c r="D71" i="57"/>
  <c r="L71" i="57" s="1"/>
  <c r="B71" i="57"/>
  <c r="Z70" i="57"/>
  <c r="P70" i="57"/>
  <c r="X70" i="57" s="1"/>
  <c r="N70" i="57"/>
  <c r="L70" i="57"/>
  <c r="D70" i="57"/>
  <c r="B70" i="57"/>
  <c r="Z69" i="57"/>
  <c r="T69" i="57"/>
  <c r="N69" i="57"/>
  <c r="H69" i="57"/>
  <c r="Z67" i="57"/>
  <c r="X67" i="57"/>
  <c r="N67" i="57"/>
  <c r="L67" i="57"/>
  <c r="F67" i="57"/>
  <c r="B67" i="57"/>
  <c r="T66" i="57"/>
  <c r="Z66" i="57" s="1"/>
  <c r="P66" i="57"/>
  <c r="X66" i="57" s="1"/>
  <c r="H66" i="57"/>
  <c r="N66" i="57" s="1"/>
  <c r="F66" i="57"/>
  <c r="D66" i="57"/>
  <c r="B66" i="57"/>
  <c r="X65" i="57"/>
  <c r="Z65" i="57" s="1"/>
  <c r="L65" i="57"/>
  <c r="N65" i="57" s="1"/>
  <c r="B65" i="57"/>
  <c r="T64" i="57"/>
  <c r="P64" i="57"/>
  <c r="X64" i="57" s="1"/>
  <c r="Z64" i="57" s="1"/>
  <c r="H64" i="57"/>
  <c r="D64" i="57"/>
  <c r="L64" i="57" s="1"/>
  <c r="N64" i="57" s="1"/>
  <c r="B64" i="57"/>
  <c r="X63" i="57"/>
  <c r="Z63" i="57" s="1"/>
  <c r="L63" i="57"/>
  <c r="N63" i="57" s="1"/>
  <c r="B63" i="57"/>
  <c r="X62" i="57"/>
  <c r="Z62" i="57" s="1"/>
  <c r="T62" i="57"/>
  <c r="P62" i="57"/>
  <c r="L62" i="57"/>
  <c r="N62" i="57" s="1"/>
  <c r="J62" i="57"/>
  <c r="H62" i="57"/>
  <c r="D62" i="57"/>
  <c r="B62" i="57"/>
  <c r="X61" i="57"/>
  <c r="Z61" i="57" s="1"/>
  <c r="L61" i="57"/>
  <c r="N61" i="57" s="1"/>
  <c r="B61" i="57"/>
  <c r="Z60" i="57"/>
  <c r="X60" i="57"/>
  <c r="N60" i="57"/>
  <c r="L60" i="57"/>
  <c r="B60" i="57"/>
  <c r="X59" i="57"/>
  <c r="Z59" i="57" s="1"/>
  <c r="N59" i="57"/>
  <c r="L59" i="57"/>
  <c r="F59" i="57"/>
  <c r="B59" i="57"/>
  <c r="T58" i="57"/>
  <c r="P58" i="57"/>
  <c r="X58" i="57" s="1"/>
  <c r="H58" i="57"/>
  <c r="F58" i="57"/>
  <c r="D58" i="57"/>
  <c r="B58" i="57"/>
  <c r="X57" i="57"/>
  <c r="Z57" i="57" s="1"/>
  <c r="L57" i="57"/>
  <c r="N57" i="57" s="1"/>
  <c r="B57" i="57"/>
  <c r="Z56" i="57"/>
  <c r="T56" i="57"/>
  <c r="P56" i="57"/>
  <c r="X56" i="57" s="1"/>
  <c r="H56" i="57"/>
  <c r="D56" i="57"/>
  <c r="L56" i="57" s="1"/>
  <c r="N56" i="57" s="1"/>
  <c r="B56" i="57"/>
  <c r="Z55" i="57"/>
  <c r="X55" i="57"/>
  <c r="N55" i="57"/>
  <c r="L55" i="57"/>
  <c r="B55" i="57"/>
  <c r="X54" i="57"/>
  <c r="Z54" i="57" s="1"/>
  <c r="N54" i="57"/>
  <c r="L54" i="57"/>
  <c r="B54" i="57"/>
  <c r="X53" i="57"/>
  <c r="Z53" i="57" s="1"/>
  <c r="L53" i="57"/>
  <c r="N53" i="57" s="1"/>
  <c r="B53" i="57"/>
  <c r="X52" i="57"/>
  <c r="Z52" i="57" s="1"/>
  <c r="T52" i="57"/>
  <c r="P52" i="57"/>
  <c r="L52" i="57"/>
  <c r="N52" i="57" s="1"/>
  <c r="J52" i="57"/>
  <c r="H52" i="57"/>
  <c r="D52" i="57"/>
  <c r="B52" i="57"/>
  <c r="X51" i="57"/>
  <c r="Z51" i="57" s="1"/>
  <c r="L51" i="57"/>
  <c r="N51" i="57" s="1"/>
  <c r="J51" i="57"/>
  <c r="B51" i="57"/>
  <c r="T50" i="57"/>
  <c r="P50" i="57"/>
  <c r="H50" i="57"/>
  <c r="D50" i="57"/>
  <c r="B50" i="57"/>
  <c r="X49" i="57"/>
  <c r="Z49" i="57" s="1"/>
  <c r="L49" i="57"/>
  <c r="N49" i="57" s="1"/>
  <c r="B49" i="57"/>
  <c r="T48" i="57"/>
  <c r="P48" i="57"/>
  <c r="X48" i="57" s="1"/>
  <c r="Z48" i="57" s="1"/>
  <c r="N48" i="57"/>
  <c r="H48" i="57"/>
  <c r="D48" i="57"/>
  <c r="L48" i="57" s="1"/>
  <c r="B48" i="57"/>
  <c r="X47" i="57"/>
  <c r="Z47" i="57" s="1"/>
  <c r="L47" i="57"/>
  <c r="N47" i="57" s="1"/>
  <c r="B47" i="57"/>
  <c r="Z46" i="57"/>
  <c r="X46" i="57"/>
  <c r="N46" i="57"/>
  <c r="L46" i="57"/>
  <c r="B46" i="57"/>
  <c r="T45" i="57"/>
  <c r="P45" i="57"/>
  <c r="X45" i="57" s="1"/>
  <c r="H45" i="57"/>
  <c r="N45" i="57" s="1"/>
  <c r="D45" i="57"/>
  <c r="L45" i="57" s="1"/>
  <c r="B45" i="57"/>
  <c r="X44" i="57"/>
  <c r="Z44" i="57" s="1"/>
  <c r="N44" i="57"/>
  <c r="L44" i="57"/>
  <c r="J44" i="57"/>
  <c r="B44" i="57"/>
  <c r="X43" i="57"/>
  <c r="Z43" i="57" s="1"/>
  <c r="T43" i="57"/>
  <c r="P43" i="57"/>
  <c r="L43" i="57"/>
  <c r="N43" i="57" s="1"/>
  <c r="H43" i="57"/>
  <c r="D43" i="57"/>
  <c r="B43" i="57"/>
  <c r="Z42" i="57"/>
  <c r="X42" i="57"/>
  <c r="L42" i="57"/>
  <c r="N42" i="57" s="1"/>
  <c r="J42" i="57"/>
  <c r="B42" i="57"/>
  <c r="T41" i="57"/>
  <c r="P41" i="57"/>
  <c r="J41" i="57"/>
  <c r="H41" i="57"/>
  <c r="D41" i="57"/>
  <c r="L41" i="57" s="1"/>
  <c r="B41" i="57"/>
  <c r="Z40" i="57"/>
  <c r="X40" i="57"/>
  <c r="N40" i="57"/>
  <c r="L40" i="57"/>
  <c r="B40" i="57"/>
  <c r="Z39" i="57"/>
  <c r="X39" i="57"/>
  <c r="N39" i="57"/>
  <c r="L39" i="57"/>
  <c r="B39" i="57"/>
  <c r="X38" i="57"/>
  <c r="Z38" i="57" s="1"/>
  <c r="N38" i="57"/>
  <c r="L38" i="57"/>
  <c r="J38" i="57"/>
  <c r="B38" i="57"/>
  <c r="Z37" i="57"/>
  <c r="X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N34" i="57"/>
  <c r="L34" i="57"/>
  <c r="J34" i="57"/>
  <c r="B34" i="57"/>
  <c r="Z33" i="57"/>
  <c r="X33" i="57"/>
  <c r="N33" i="57"/>
  <c r="L33" i="57"/>
  <c r="B33" i="57"/>
  <c r="X32" i="57"/>
  <c r="Z32" i="57" s="1"/>
  <c r="L32" i="57"/>
  <c r="N32" i="57" s="1"/>
  <c r="B32" i="57"/>
  <c r="X31" i="57"/>
  <c r="Z31" i="57" s="1"/>
  <c r="L31" i="57"/>
  <c r="N31" i="57" s="1"/>
  <c r="B31" i="57"/>
  <c r="X30" i="57"/>
  <c r="Z30" i="57" s="1"/>
  <c r="T30" i="57"/>
  <c r="P30" i="57"/>
  <c r="L30" i="57"/>
  <c r="N30" i="57" s="1"/>
  <c r="J30" i="57"/>
  <c r="H30" i="57"/>
  <c r="D30" i="57"/>
  <c r="B30" i="57"/>
  <c r="X29" i="57"/>
  <c r="Z29" i="57" s="1"/>
  <c r="L29" i="57"/>
  <c r="N29" i="57" s="1"/>
  <c r="J29" i="57"/>
  <c r="F29" i="57"/>
  <c r="B29" i="57"/>
  <c r="X28" i="57"/>
  <c r="Z28" i="57" s="1"/>
  <c r="N28" i="57"/>
  <c r="L28" i="57"/>
  <c r="J28" i="57"/>
  <c r="B28" i="57"/>
  <c r="X27" i="57"/>
  <c r="Z27" i="57" s="1"/>
  <c r="N27" i="57"/>
  <c r="L27" i="57"/>
  <c r="J27" i="57"/>
  <c r="B27" i="57"/>
  <c r="Z26" i="57"/>
  <c r="X26" i="57"/>
  <c r="N26" i="57"/>
  <c r="L26" i="57"/>
  <c r="B26" i="57"/>
  <c r="X25" i="57"/>
  <c r="Z25" i="57" s="1"/>
  <c r="L25" i="57"/>
  <c r="N25" i="57" s="1"/>
  <c r="J25" i="57"/>
  <c r="F25" i="57"/>
  <c r="B25" i="57"/>
  <c r="X24" i="57"/>
  <c r="Z24" i="57" s="1"/>
  <c r="N24" i="57"/>
  <c r="L24" i="57"/>
  <c r="J24" i="57"/>
  <c r="B24" i="57"/>
  <c r="X23" i="57"/>
  <c r="Z23" i="57" s="1"/>
  <c r="N23" i="57"/>
  <c r="L23" i="57"/>
  <c r="J23" i="57"/>
  <c r="F23" i="57"/>
  <c r="B23" i="57"/>
  <c r="Z22" i="57"/>
  <c r="X22" i="57"/>
  <c r="N22" i="57"/>
  <c r="L22" i="57"/>
  <c r="B22" i="57"/>
  <c r="X21" i="57"/>
  <c r="Z21" i="57" s="1"/>
  <c r="L21" i="57"/>
  <c r="N21" i="57" s="1"/>
  <c r="J21" i="57"/>
  <c r="F21" i="57"/>
  <c r="B21" i="57"/>
  <c r="T20" i="57"/>
  <c r="P20" i="57"/>
  <c r="J20" i="57"/>
  <c r="H20" i="57"/>
  <c r="N20" i="57" s="1"/>
  <c r="F20" i="57"/>
  <c r="D20" i="57"/>
  <c r="L20" i="57" s="1"/>
  <c r="B20" i="57"/>
  <c r="T19" i="57"/>
  <c r="P19" i="57"/>
  <c r="X19" i="57" s="1"/>
  <c r="J19" i="57"/>
  <c r="H19" i="57"/>
  <c r="D19" i="57"/>
  <c r="V17" i="57"/>
  <c r="J17" i="57"/>
  <c r="T15" i="57"/>
  <c r="Z15" i="57" s="1"/>
  <c r="P15" i="57"/>
  <c r="J15" i="57"/>
  <c r="H15" i="57"/>
  <c r="H17" i="57" s="1"/>
  <c r="D15" i="57"/>
  <c r="Z13" i="57"/>
  <c r="P13" i="57"/>
  <c r="N13" i="57"/>
  <c r="D13" i="57"/>
  <c r="L13" i="57" s="1"/>
  <c r="B13" i="57"/>
  <c r="T12" i="57"/>
  <c r="V54" i="57" s="1"/>
  <c r="N12" i="57"/>
  <c r="H12" i="57"/>
  <c r="J71" i="57" s="1"/>
  <c r="D12" i="57"/>
  <c r="F51" i="57" s="1"/>
  <c r="D6" i="57"/>
  <c r="D4" i="57"/>
  <c r="Z82" i="56"/>
  <c r="X82" i="56"/>
  <c r="N82" i="56"/>
  <c r="L82" i="56"/>
  <c r="J80" i="56"/>
  <c r="Z78" i="56"/>
  <c r="X78" i="56"/>
  <c r="T78" i="56"/>
  <c r="P78" i="56"/>
  <c r="N78" i="56"/>
  <c r="L78" i="56"/>
  <c r="H78" i="56"/>
  <c r="D78" i="56"/>
  <c r="X76" i="56"/>
  <c r="Z76" i="56" s="1"/>
  <c r="N76" i="56"/>
  <c r="L76" i="56"/>
  <c r="B76" i="56"/>
  <c r="T75" i="56"/>
  <c r="Z75" i="56" s="1"/>
  <c r="P75" i="56"/>
  <c r="X75" i="56" s="1"/>
  <c r="H75" i="56"/>
  <c r="D75" i="56"/>
  <c r="L75" i="56" s="1"/>
  <c r="B75" i="56"/>
  <c r="X74" i="56"/>
  <c r="Z74" i="56" s="1"/>
  <c r="N74" i="56"/>
  <c r="L74" i="56"/>
  <c r="B74" i="56"/>
  <c r="X73" i="56"/>
  <c r="Z73" i="56" s="1"/>
  <c r="T73" i="56"/>
  <c r="P73" i="56"/>
  <c r="H73" i="56"/>
  <c r="L73" i="56" s="1"/>
  <c r="N73" i="56" s="1"/>
  <c r="D73" i="56"/>
  <c r="B73" i="56"/>
  <c r="Z72" i="56"/>
  <c r="X72" i="56"/>
  <c r="L72" i="56"/>
  <c r="N72" i="56" s="1"/>
  <c r="B72" i="56"/>
  <c r="T71" i="56"/>
  <c r="P71" i="56"/>
  <c r="H71" i="56"/>
  <c r="D71" i="56"/>
  <c r="L71" i="56" s="1"/>
  <c r="B71" i="56"/>
  <c r="Z70" i="56"/>
  <c r="X70" i="56"/>
  <c r="N70" i="56"/>
  <c r="L70" i="56"/>
  <c r="B70" i="56"/>
  <c r="X69" i="56"/>
  <c r="Z69" i="56" s="1"/>
  <c r="N69" i="56"/>
  <c r="L69" i="56"/>
  <c r="B69" i="56"/>
  <c r="X68" i="56"/>
  <c r="Z68" i="56" s="1"/>
  <c r="N68" i="56"/>
  <c r="L68" i="56"/>
  <c r="B68" i="56"/>
  <c r="T67" i="56"/>
  <c r="P67" i="56"/>
  <c r="X67" i="56" s="1"/>
  <c r="H67" i="56"/>
  <c r="D67" i="56"/>
  <c r="B67" i="56"/>
  <c r="X66" i="56"/>
  <c r="Z66" i="56" s="1"/>
  <c r="N66" i="56"/>
  <c r="L66" i="56"/>
  <c r="B66" i="56"/>
  <c r="X65" i="56"/>
  <c r="Z65" i="56" s="1"/>
  <c r="T65" i="56"/>
  <c r="P65" i="56"/>
  <c r="H65" i="56"/>
  <c r="N65" i="56" s="1"/>
  <c r="D65" i="56"/>
  <c r="L65" i="56" s="1"/>
  <c r="B65" i="56"/>
  <c r="Z64" i="56"/>
  <c r="X64" i="56"/>
  <c r="L64" i="56"/>
  <c r="N64" i="56" s="1"/>
  <c r="B64" i="56"/>
  <c r="Z63" i="56"/>
  <c r="X63" i="56"/>
  <c r="N63" i="56"/>
  <c r="L63" i="56"/>
  <c r="B63" i="56"/>
  <c r="Z62" i="56"/>
  <c r="T62" i="56"/>
  <c r="P62" i="56"/>
  <c r="X62" i="56" s="1"/>
  <c r="N62" i="56"/>
  <c r="H62" i="56"/>
  <c r="D62" i="56"/>
  <c r="L62" i="56" s="1"/>
  <c r="B62" i="56"/>
  <c r="X61" i="56"/>
  <c r="Z61" i="56" s="1"/>
  <c r="N61" i="56"/>
  <c r="L61" i="56"/>
  <c r="B61" i="56"/>
  <c r="X60" i="56"/>
  <c r="Z60" i="56" s="1"/>
  <c r="N60" i="56"/>
  <c r="L60" i="56"/>
  <c r="B60" i="56"/>
  <c r="X59" i="56"/>
  <c r="Z59" i="56" s="1"/>
  <c r="N59" i="56"/>
  <c r="L59" i="56"/>
  <c r="F59" i="56"/>
  <c r="B59" i="56"/>
  <c r="X58" i="56"/>
  <c r="Z58" i="56" s="1"/>
  <c r="T58" i="56"/>
  <c r="P58" i="56"/>
  <c r="N58" i="56"/>
  <c r="L58" i="56"/>
  <c r="H58" i="56"/>
  <c r="D58" i="56"/>
  <c r="B58" i="56"/>
  <c r="X57" i="56"/>
  <c r="Z57" i="56" s="1"/>
  <c r="N57" i="56"/>
  <c r="L57" i="56"/>
  <c r="B57" i="56"/>
  <c r="T56" i="56"/>
  <c r="X56" i="56" s="1"/>
  <c r="R56" i="56"/>
  <c r="P56" i="56"/>
  <c r="H56" i="56"/>
  <c r="D56" i="56"/>
  <c r="B56" i="56"/>
  <c r="X55" i="56"/>
  <c r="Z55" i="56" s="1"/>
  <c r="N55" i="56"/>
  <c r="L55" i="56"/>
  <c r="J55" i="56"/>
  <c r="B55" i="56"/>
  <c r="T54" i="56"/>
  <c r="P54" i="56"/>
  <c r="X54" i="56" s="1"/>
  <c r="Z54" i="56" s="1"/>
  <c r="H54" i="56"/>
  <c r="N54" i="56" s="1"/>
  <c r="D54" i="56"/>
  <c r="L54" i="56" s="1"/>
  <c r="B54" i="56"/>
  <c r="X53" i="56"/>
  <c r="Z53" i="56" s="1"/>
  <c r="R53" i="56"/>
  <c r="L53" i="56"/>
  <c r="N53" i="56" s="1"/>
  <c r="B53" i="56"/>
  <c r="X52" i="56"/>
  <c r="Z52" i="56" s="1"/>
  <c r="T52" i="56"/>
  <c r="P52" i="56"/>
  <c r="N52" i="56"/>
  <c r="L52" i="56"/>
  <c r="H52" i="56"/>
  <c r="D52" i="56"/>
  <c r="B52" i="56"/>
  <c r="X51" i="56"/>
  <c r="Z51" i="56" s="1"/>
  <c r="L51" i="56"/>
  <c r="N51" i="56" s="1"/>
  <c r="B51" i="56"/>
  <c r="T50" i="56"/>
  <c r="P50" i="56"/>
  <c r="H50" i="56"/>
  <c r="L50" i="56" s="1"/>
  <c r="F50" i="56"/>
  <c r="D50" i="56"/>
  <c r="B50" i="56"/>
  <c r="Z49" i="56"/>
  <c r="X49" i="56"/>
  <c r="N49" i="56"/>
  <c r="L49" i="56"/>
  <c r="B49" i="56"/>
  <c r="Z48" i="56"/>
  <c r="T48" i="56"/>
  <c r="P48" i="56"/>
  <c r="X48" i="56" s="1"/>
  <c r="N48" i="56"/>
  <c r="H48" i="56"/>
  <c r="D48" i="56"/>
  <c r="L48" i="56" s="1"/>
  <c r="B48" i="56"/>
  <c r="X47" i="56"/>
  <c r="Z47" i="56" s="1"/>
  <c r="L47" i="56"/>
  <c r="N47" i="56" s="1"/>
  <c r="B47" i="56"/>
  <c r="X46" i="56"/>
  <c r="Z46" i="56" s="1"/>
  <c r="N46" i="56"/>
  <c r="L46" i="56"/>
  <c r="B46" i="56"/>
  <c r="T45" i="56"/>
  <c r="P45" i="56"/>
  <c r="X45" i="56" s="1"/>
  <c r="H45" i="56"/>
  <c r="N45" i="56" s="1"/>
  <c r="D45" i="56"/>
  <c r="L45" i="56" s="1"/>
  <c r="B45" i="56"/>
  <c r="X44" i="56"/>
  <c r="Z44" i="56" s="1"/>
  <c r="N44" i="56"/>
  <c r="L44" i="56"/>
  <c r="B44" i="56"/>
  <c r="X43" i="56"/>
  <c r="Z43" i="56" s="1"/>
  <c r="T43" i="56"/>
  <c r="P43" i="56"/>
  <c r="L43" i="56"/>
  <c r="N43" i="56" s="1"/>
  <c r="H43" i="56"/>
  <c r="D43" i="56"/>
  <c r="B43" i="56"/>
  <c r="Z42" i="56"/>
  <c r="X42" i="56"/>
  <c r="L42" i="56"/>
  <c r="N42" i="56" s="1"/>
  <c r="J42" i="56"/>
  <c r="B42" i="56"/>
  <c r="T41" i="56"/>
  <c r="P41" i="56"/>
  <c r="H41" i="56"/>
  <c r="D41" i="56"/>
  <c r="B41" i="56"/>
  <c r="Z40" i="56"/>
  <c r="X40" i="56"/>
  <c r="N40" i="56"/>
  <c r="L40" i="56"/>
  <c r="B40" i="56"/>
  <c r="Z39" i="56"/>
  <c r="X39" i="56"/>
  <c r="N39" i="56"/>
  <c r="L39" i="56"/>
  <c r="B39" i="56"/>
  <c r="X38" i="56"/>
  <c r="Z38" i="56" s="1"/>
  <c r="V38" i="56"/>
  <c r="N38" i="56"/>
  <c r="L38" i="56"/>
  <c r="B38" i="56"/>
  <c r="X37" i="56"/>
  <c r="Z37" i="56" s="1"/>
  <c r="L37" i="56"/>
  <c r="N37" i="56" s="1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V34" i="56"/>
  <c r="N34" i="56"/>
  <c r="L34" i="56"/>
  <c r="B34" i="56"/>
  <c r="Z33" i="56"/>
  <c r="X33" i="56"/>
  <c r="N33" i="56"/>
  <c r="L33" i="56"/>
  <c r="B33" i="56"/>
  <c r="Z32" i="56"/>
  <c r="X32" i="56"/>
  <c r="L32" i="56"/>
  <c r="N32" i="56" s="1"/>
  <c r="B32" i="56"/>
  <c r="X31" i="56"/>
  <c r="Z31" i="56" s="1"/>
  <c r="L31" i="56"/>
  <c r="N31" i="56" s="1"/>
  <c r="B31" i="56"/>
  <c r="X30" i="56"/>
  <c r="Z30" i="56" s="1"/>
  <c r="V30" i="56"/>
  <c r="T30" i="56"/>
  <c r="P30" i="56"/>
  <c r="J30" i="56"/>
  <c r="H30" i="56"/>
  <c r="D30" i="56"/>
  <c r="L30" i="56" s="1"/>
  <c r="N30" i="56" s="1"/>
  <c r="B30" i="56"/>
  <c r="X29" i="56"/>
  <c r="Z29" i="56" s="1"/>
  <c r="L29" i="56"/>
  <c r="N29" i="56" s="1"/>
  <c r="F29" i="56"/>
  <c r="B29" i="56"/>
  <c r="X28" i="56"/>
  <c r="Z28" i="56" s="1"/>
  <c r="N28" i="56"/>
  <c r="L28" i="56"/>
  <c r="B28" i="56"/>
  <c r="X27" i="56"/>
  <c r="Z27" i="56" s="1"/>
  <c r="L27" i="56"/>
  <c r="N27" i="56" s="1"/>
  <c r="F27" i="56"/>
  <c r="B27" i="56"/>
  <c r="Z26" i="56"/>
  <c r="X26" i="56"/>
  <c r="N26" i="56"/>
  <c r="L26" i="56"/>
  <c r="F26" i="56"/>
  <c r="B26" i="56"/>
  <c r="X25" i="56"/>
  <c r="Z25" i="56" s="1"/>
  <c r="L25" i="56"/>
  <c r="N25" i="56" s="1"/>
  <c r="F25" i="56"/>
  <c r="B25" i="56"/>
  <c r="X24" i="56"/>
  <c r="Z24" i="56" s="1"/>
  <c r="N24" i="56"/>
  <c r="L24" i="56"/>
  <c r="B24" i="56"/>
  <c r="X23" i="56"/>
  <c r="Z23" i="56" s="1"/>
  <c r="L23" i="56"/>
  <c r="N23" i="56" s="1"/>
  <c r="F23" i="56"/>
  <c r="B23" i="56"/>
  <c r="X22" i="56"/>
  <c r="Z22" i="56" s="1"/>
  <c r="N22" i="56"/>
  <c r="L22" i="56"/>
  <c r="F22" i="56"/>
  <c r="B22" i="56"/>
  <c r="X21" i="56"/>
  <c r="Z21" i="56" s="1"/>
  <c r="L21" i="56"/>
  <c r="N21" i="56" s="1"/>
  <c r="F21" i="56"/>
  <c r="B21" i="56"/>
  <c r="X20" i="56"/>
  <c r="T20" i="56"/>
  <c r="Z20" i="56" s="1"/>
  <c r="R20" i="56"/>
  <c r="P20" i="56"/>
  <c r="H20" i="56"/>
  <c r="F20" i="56"/>
  <c r="D20" i="56"/>
  <c r="B20" i="56"/>
  <c r="T19" i="56"/>
  <c r="P19" i="56"/>
  <c r="H19" i="56"/>
  <c r="D19" i="56"/>
  <c r="T15" i="56"/>
  <c r="T17" i="56" s="1"/>
  <c r="P15" i="56"/>
  <c r="H15" i="56"/>
  <c r="N15" i="56" s="1"/>
  <c r="D15" i="56"/>
  <c r="Z13" i="56"/>
  <c r="X13" i="56"/>
  <c r="P13" i="56"/>
  <c r="P12" i="56" s="1"/>
  <c r="R84" i="56" s="1"/>
  <c r="N13" i="56"/>
  <c r="D13" i="56"/>
  <c r="L13" i="56" s="1"/>
  <c r="B13" i="56"/>
  <c r="T12" i="56"/>
  <c r="V68" i="56" s="1"/>
  <c r="H12" i="56"/>
  <c r="J52" i="56" s="1"/>
  <c r="D12" i="56"/>
  <c r="F48" i="56" s="1"/>
  <c r="D6" i="56"/>
  <c r="D4" i="56"/>
  <c r="J40" i="55"/>
  <c r="F40" i="55"/>
  <c r="J37" i="55"/>
  <c r="F37" i="55"/>
  <c r="Z35" i="55"/>
  <c r="X35" i="55"/>
  <c r="N35" i="55"/>
  <c r="L35" i="55"/>
  <c r="V33" i="55"/>
  <c r="J33" i="55"/>
  <c r="Z31" i="55"/>
  <c r="V31" i="55"/>
  <c r="T31" i="55"/>
  <c r="P31" i="55"/>
  <c r="X31" i="55" s="1"/>
  <c r="N31" i="55"/>
  <c r="J31" i="55"/>
  <c r="H31" i="55"/>
  <c r="D31" i="55"/>
  <c r="L31" i="55" s="1"/>
  <c r="Z29" i="55"/>
  <c r="X29" i="55"/>
  <c r="V29" i="55"/>
  <c r="N29" i="55"/>
  <c r="L29" i="55"/>
  <c r="B29" i="55"/>
  <c r="X28" i="55"/>
  <c r="Z28" i="55" s="1"/>
  <c r="L28" i="55"/>
  <c r="N28" i="55" s="1"/>
  <c r="B28" i="55"/>
  <c r="V27" i="55"/>
  <c r="T27" i="55"/>
  <c r="P27" i="55"/>
  <c r="X27" i="55" s="1"/>
  <c r="Z27" i="55" s="1"/>
  <c r="J27" i="55"/>
  <c r="H27" i="55"/>
  <c r="D27" i="55"/>
  <c r="L27" i="55" s="1"/>
  <c r="N27" i="55" s="1"/>
  <c r="B27" i="55"/>
  <c r="X26" i="55"/>
  <c r="Z26" i="55" s="1"/>
  <c r="N26" i="55"/>
  <c r="L26" i="55"/>
  <c r="F26" i="55"/>
  <c r="B26" i="55"/>
  <c r="X25" i="55"/>
  <c r="V25" i="55"/>
  <c r="T25" i="55"/>
  <c r="Z25" i="55" s="1"/>
  <c r="P25" i="55"/>
  <c r="L25" i="55"/>
  <c r="J25" i="55"/>
  <c r="H25" i="55"/>
  <c r="N25" i="55" s="1"/>
  <c r="F25" i="55"/>
  <c r="D25" i="55"/>
  <c r="B25" i="55"/>
  <c r="X24" i="55"/>
  <c r="Z24" i="55" s="1"/>
  <c r="L24" i="55"/>
  <c r="N24" i="55" s="1"/>
  <c r="F24" i="55"/>
  <c r="B24" i="55"/>
  <c r="T23" i="55"/>
  <c r="P23" i="55"/>
  <c r="X23" i="55" s="1"/>
  <c r="Z23" i="55" s="1"/>
  <c r="H23" i="55"/>
  <c r="F23" i="55"/>
  <c r="D23" i="55"/>
  <c r="L23" i="55" s="1"/>
  <c r="N23" i="55" s="1"/>
  <c r="B23" i="55"/>
  <c r="X22" i="55"/>
  <c r="Z22" i="55" s="1"/>
  <c r="L22" i="55"/>
  <c r="N22" i="55" s="1"/>
  <c r="B22" i="55"/>
  <c r="V21" i="55"/>
  <c r="T21" i="55"/>
  <c r="P21" i="55"/>
  <c r="X21" i="55" s="1"/>
  <c r="Z21" i="55" s="1"/>
  <c r="J21" i="55"/>
  <c r="H21" i="55"/>
  <c r="D21" i="55"/>
  <c r="L21" i="55" s="1"/>
  <c r="N21" i="55" s="1"/>
  <c r="B21" i="55"/>
  <c r="X20" i="55"/>
  <c r="Z20" i="55" s="1"/>
  <c r="L20" i="55"/>
  <c r="N20" i="55" s="1"/>
  <c r="F20" i="55"/>
  <c r="B20" i="55"/>
  <c r="X19" i="55"/>
  <c r="V19" i="55"/>
  <c r="T19" i="55"/>
  <c r="Z19" i="55" s="1"/>
  <c r="P19" i="55"/>
  <c r="L19" i="55"/>
  <c r="J19" i="55"/>
  <c r="H19" i="55"/>
  <c r="N19" i="55" s="1"/>
  <c r="F19" i="55"/>
  <c r="D19" i="55"/>
  <c r="B19" i="55"/>
  <c r="T18" i="55"/>
  <c r="P18" i="55"/>
  <c r="H18" i="55"/>
  <c r="D18" i="55"/>
  <c r="H16" i="55"/>
  <c r="T14" i="55"/>
  <c r="P14" i="55"/>
  <c r="H14" i="55"/>
  <c r="D14" i="55"/>
  <c r="Z12" i="55"/>
  <c r="T12" i="55"/>
  <c r="V23" i="55" s="1"/>
  <c r="P12" i="55"/>
  <c r="R19" i="55" s="1"/>
  <c r="H12" i="55"/>
  <c r="J29" i="55" s="1"/>
  <c r="D12" i="55"/>
  <c r="F28" i="55" s="1"/>
  <c r="D6" i="55"/>
  <c r="D4" i="55"/>
  <c r="V31" i="54"/>
  <c r="V29" i="54"/>
  <c r="T29" i="54"/>
  <c r="P29" i="54"/>
  <c r="X29" i="54" s="1"/>
  <c r="H29" i="54"/>
  <c r="D29" i="54"/>
  <c r="L29" i="54" s="1"/>
  <c r="V28" i="54"/>
  <c r="T28" i="54"/>
  <c r="P28" i="54"/>
  <c r="X28" i="54" s="1"/>
  <c r="H28" i="54"/>
  <c r="N28" i="54" s="1"/>
  <c r="D28" i="54"/>
  <c r="L28" i="54" s="1"/>
  <c r="V26" i="54"/>
  <c r="Z24" i="54"/>
  <c r="X24" i="54"/>
  <c r="V24" i="54"/>
  <c r="N24" i="54"/>
  <c r="L24" i="54"/>
  <c r="T20" i="54"/>
  <c r="P20" i="54"/>
  <c r="H20" i="54"/>
  <c r="D20" i="54"/>
  <c r="T18" i="54"/>
  <c r="P18" i="54"/>
  <c r="H18" i="54"/>
  <c r="D18" i="54"/>
  <c r="T16" i="54"/>
  <c r="Z16" i="54" s="1"/>
  <c r="T14" i="54"/>
  <c r="P14" i="54"/>
  <c r="H14" i="54"/>
  <c r="D14" i="54"/>
  <c r="Z12" i="54"/>
  <c r="T12" i="54"/>
  <c r="V22" i="54" s="1"/>
  <c r="P12" i="54"/>
  <c r="H12" i="54"/>
  <c r="J31" i="54" s="1"/>
  <c r="D12" i="54"/>
  <c r="F24" i="54" s="1"/>
  <c r="D6" i="54"/>
  <c r="D4" i="54"/>
  <c r="Z110" i="51"/>
  <c r="X110" i="51"/>
  <c r="L110" i="51"/>
  <c r="N110" i="51" s="1"/>
  <c r="X106" i="51"/>
  <c r="Z106" i="51" s="1"/>
  <c r="P106" i="51"/>
  <c r="P104" i="51" s="1"/>
  <c r="X104" i="51" s="1"/>
  <c r="N106" i="51"/>
  <c r="L106" i="51"/>
  <c r="J106" i="51"/>
  <c r="D106" i="51"/>
  <c r="B106" i="51"/>
  <c r="Z105" i="51"/>
  <c r="X105" i="51"/>
  <c r="V105" i="51"/>
  <c r="P105" i="51"/>
  <c r="N105" i="51"/>
  <c r="L105" i="51"/>
  <c r="D105" i="51"/>
  <c r="B105" i="51"/>
  <c r="T104" i="51"/>
  <c r="H104" i="51"/>
  <c r="D104" i="51"/>
  <c r="X102" i="51"/>
  <c r="Z102" i="51" s="1"/>
  <c r="N102" i="51"/>
  <c r="L102" i="51"/>
  <c r="B102" i="51"/>
  <c r="Z101" i="51"/>
  <c r="T101" i="51"/>
  <c r="P101" i="51"/>
  <c r="X101" i="51" s="1"/>
  <c r="N101" i="51"/>
  <c r="H101" i="51"/>
  <c r="D101" i="51"/>
  <c r="L101" i="51" s="1"/>
  <c r="B101" i="51"/>
  <c r="X100" i="51"/>
  <c r="Z100" i="51" s="1"/>
  <c r="L100" i="51"/>
  <c r="N100" i="51" s="1"/>
  <c r="B100" i="51"/>
  <c r="V99" i="51"/>
  <c r="T99" i="51"/>
  <c r="P99" i="51"/>
  <c r="X99" i="51" s="1"/>
  <c r="Z99" i="51" s="1"/>
  <c r="J99" i="51"/>
  <c r="H99" i="51"/>
  <c r="D99" i="51"/>
  <c r="L99" i="51" s="1"/>
  <c r="N99" i="51" s="1"/>
  <c r="B99" i="51"/>
  <c r="X98" i="51"/>
  <c r="Z98" i="51" s="1"/>
  <c r="L98" i="51"/>
  <c r="N98" i="51" s="1"/>
  <c r="B98" i="51"/>
  <c r="X97" i="51"/>
  <c r="Z97" i="51" s="1"/>
  <c r="N97" i="51"/>
  <c r="L97" i="51"/>
  <c r="B97" i="51"/>
  <c r="Z96" i="51"/>
  <c r="X96" i="51"/>
  <c r="N96" i="51"/>
  <c r="L96" i="51"/>
  <c r="B96" i="51"/>
  <c r="Z95" i="51"/>
  <c r="X95" i="51"/>
  <c r="N95" i="51"/>
  <c r="L95" i="51"/>
  <c r="B95" i="51"/>
  <c r="X94" i="51"/>
  <c r="Z94" i="51" s="1"/>
  <c r="T94" i="51"/>
  <c r="P94" i="51"/>
  <c r="L94" i="51"/>
  <c r="N94" i="51" s="1"/>
  <c r="H94" i="51"/>
  <c r="D94" i="51"/>
  <c r="B94" i="51"/>
  <c r="Z93" i="51"/>
  <c r="X93" i="51"/>
  <c r="N93" i="51"/>
  <c r="L93" i="51"/>
  <c r="J93" i="51"/>
  <c r="B93" i="51"/>
  <c r="T92" i="51"/>
  <c r="P92" i="51"/>
  <c r="H92" i="51"/>
  <c r="D92" i="51"/>
  <c r="B92" i="51"/>
  <c r="Z91" i="51"/>
  <c r="X91" i="51"/>
  <c r="V91" i="51"/>
  <c r="L91" i="51"/>
  <c r="N91" i="51" s="1"/>
  <c r="B91" i="51"/>
  <c r="Z90" i="51"/>
  <c r="X90" i="51"/>
  <c r="N90" i="51"/>
  <c r="L90" i="51"/>
  <c r="B90" i="51"/>
  <c r="V89" i="51"/>
  <c r="T89" i="51"/>
  <c r="P89" i="51"/>
  <c r="X89" i="51" s="1"/>
  <c r="Z89" i="51" s="1"/>
  <c r="J89" i="51"/>
  <c r="H89" i="51"/>
  <c r="D89" i="51"/>
  <c r="L89" i="51" s="1"/>
  <c r="N89" i="51" s="1"/>
  <c r="B89" i="51"/>
  <c r="X88" i="51"/>
  <c r="Z88" i="51" s="1"/>
  <c r="N88" i="51"/>
  <c r="L88" i="51"/>
  <c r="B88" i="51"/>
  <c r="X87" i="51"/>
  <c r="T87" i="51"/>
  <c r="Z87" i="51" s="1"/>
  <c r="P87" i="51"/>
  <c r="L87" i="51"/>
  <c r="H87" i="51"/>
  <c r="N87" i="51" s="1"/>
  <c r="D87" i="51"/>
  <c r="B87" i="51"/>
  <c r="X86" i="51"/>
  <c r="Z86" i="51" s="1"/>
  <c r="L86" i="51"/>
  <c r="N86" i="51" s="1"/>
  <c r="B86" i="51"/>
  <c r="T85" i="51"/>
  <c r="P85" i="51"/>
  <c r="X85" i="51" s="1"/>
  <c r="Z85" i="51" s="1"/>
  <c r="N85" i="51"/>
  <c r="H85" i="51"/>
  <c r="D85" i="51"/>
  <c r="L85" i="51" s="1"/>
  <c r="B85" i="51"/>
  <c r="Z84" i="51"/>
  <c r="X84" i="51"/>
  <c r="N84" i="51"/>
  <c r="L84" i="51"/>
  <c r="B84" i="51"/>
  <c r="Z83" i="51"/>
  <c r="X83" i="51"/>
  <c r="V83" i="51"/>
  <c r="L83" i="51"/>
  <c r="N83" i="51" s="1"/>
  <c r="B83" i="51"/>
  <c r="T82" i="51"/>
  <c r="P82" i="51"/>
  <c r="X82" i="51" s="1"/>
  <c r="H82" i="51"/>
  <c r="N82" i="51" s="1"/>
  <c r="D82" i="51"/>
  <c r="L82" i="51" s="1"/>
  <c r="B82" i="51"/>
  <c r="X81" i="51"/>
  <c r="Z81" i="51" s="1"/>
  <c r="N81" i="51"/>
  <c r="L81" i="51"/>
  <c r="B81" i="51"/>
  <c r="X80" i="51"/>
  <c r="Z80" i="51" s="1"/>
  <c r="T80" i="51"/>
  <c r="P80" i="51"/>
  <c r="L80" i="51"/>
  <c r="N80" i="51" s="1"/>
  <c r="H80" i="51"/>
  <c r="D80" i="51"/>
  <c r="B80" i="51"/>
  <c r="Z79" i="51"/>
  <c r="X79" i="51"/>
  <c r="N79" i="51"/>
  <c r="L79" i="51"/>
  <c r="J79" i="51"/>
  <c r="B79" i="51"/>
  <c r="T78" i="51"/>
  <c r="P78" i="51"/>
  <c r="H78" i="51"/>
  <c r="D78" i="51"/>
  <c r="B78" i="51"/>
  <c r="Z77" i="51"/>
  <c r="X77" i="51"/>
  <c r="V77" i="51"/>
  <c r="L77" i="51"/>
  <c r="N77" i="51" s="1"/>
  <c r="B77" i="51"/>
  <c r="T76" i="51"/>
  <c r="P76" i="51"/>
  <c r="X76" i="51" s="1"/>
  <c r="H76" i="51"/>
  <c r="D76" i="51"/>
  <c r="L76" i="51" s="1"/>
  <c r="B76" i="51"/>
  <c r="X75" i="51"/>
  <c r="Z75" i="51" s="1"/>
  <c r="V75" i="51"/>
  <c r="N75" i="51"/>
  <c r="L75" i="51"/>
  <c r="B75" i="51"/>
  <c r="X74" i="51"/>
  <c r="Z74" i="51" s="1"/>
  <c r="T74" i="51"/>
  <c r="P74" i="51"/>
  <c r="L74" i="51"/>
  <c r="N74" i="51" s="1"/>
  <c r="H74" i="51"/>
  <c r="D74" i="51"/>
  <c r="B74" i="51"/>
  <c r="Z73" i="51"/>
  <c r="X73" i="51"/>
  <c r="N73" i="51"/>
  <c r="L73" i="51"/>
  <c r="J73" i="51"/>
  <c r="B73" i="51"/>
  <c r="Z72" i="51"/>
  <c r="X72" i="51"/>
  <c r="N72" i="51"/>
  <c r="L72" i="51"/>
  <c r="B72" i="51"/>
  <c r="Z71" i="51"/>
  <c r="X71" i="51"/>
  <c r="N71" i="51"/>
  <c r="L71" i="51"/>
  <c r="J71" i="51"/>
  <c r="B71" i="51"/>
  <c r="X70" i="51"/>
  <c r="Z70" i="51" s="1"/>
  <c r="N70" i="51"/>
  <c r="L70" i="51"/>
  <c r="B70" i="51"/>
  <c r="Z69" i="51"/>
  <c r="X69" i="51"/>
  <c r="N69" i="51"/>
  <c r="L69" i="51"/>
  <c r="J69" i="51"/>
  <c r="B69" i="51"/>
  <c r="Z68" i="51"/>
  <c r="X68" i="51"/>
  <c r="N68" i="51"/>
  <c r="L68" i="51"/>
  <c r="B68" i="51"/>
  <c r="Z67" i="51"/>
  <c r="X67" i="51"/>
  <c r="N67" i="51"/>
  <c r="L67" i="51"/>
  <c r="J67" i="51"/>
  <c r="B67" i="51"/>
  <c r="Z66" i="51"/>
  <c r="X66" i="51"/>
  <c r="N66" i="51"/>
  <c r="L66" i="51"/>
  <c r="B66" i="51"/>
  <c r="Z65" i="51"/>
  <c r="X65" i="51"/>
  <c r="N65" i="51"/>
  <c r="L65" i="51"/>
  <c r="J65" i="51"/>
  <c r="B65" i="51"/>
  <c r="Z64" i="51"/>
  <c r="X64" i="51"/>
  <c r="N64" i="51"/>
  <c r="L64" i="51"/>
  <c r="B64" i="51"/>
  <c r="T63" i="51"/>
  <c r="P63" i="51"/>
  <c r="X63" i="51" s="1"/>
  <c r="Z63" i="51" s="1"/>
  <c r="H63" i="51"/>
  <c r="D63" i="51"/>
  <c r="L63" i="51" s="1"/>
  <c r="N63" i="51" s="1"/>
  <c r="B63" i="51"/>
  <c r="X62" i="51"/>
  <c r="Z62" i="51" s="1"/>
  <c r="L62" i="51"/>
  <c r="N62" i="51" s="1"/>
  <c r="B62" i="51"/>
  <c r="Z61" i="51"/>
  <c r="X61" i="51"/>
  <c r="V61" i="51"/>
  <c r="L61" i="51"/>
  <c r="N61" i="51" s="1"/>
  <c r="B61" i="51"/>
  <c r="X60" i="51"/>
  <c r="Z60" i="51" s="1"/>
  <c r="L60" i="51"/>
  <c r="N60" i="51" s="1"/>
  <c r="B60" i="51"/>
  <c r="Z59" i="51"/>
  <c r="X59" i="51"/>
  <c r="V59" i="51"/>
  <c r="N59" i="51"/>
  <c r="L59" i="51"/>
  <c r="J59" i="51"/>
  <c r="B59" i="51"/>
  <c r="Z58" i="51"/>
  <c r="X58" i="51"/>
  <c r="N58" i="51"/>
  <c r="L58" i="51"/>
  <c r="B58" i="51"/>
  <c r="Z57" i="51"/>
  <c r="X57" i="51"/>
  <c r="V57" i="51"/>
  <c r="L57" i="51"/>
  <c r="N57" i="51" s="1"/>
  <c r="B57" i="51"/>
  <c r="X56" i="51"/>
  <c r="Z56" i="51" s="1"/>
  <c r="L56" i="51"/>
  <c r="N56" i="51" s="1"/>
  <c r="B56" i="51"/>
  <c r="Z55" i="51"/>
  <c r="X55" i="51"/>
  <c r="V55" i="51"/>
  <c r="L55" i="51"/>
  <c r="N55" i="51" s="1"/>
  <c r="J55" i="51"/>
  <c r="B55" i="51"/>
  <c r="X54" i="51"/>
  <c r="Z54" i="51" s="1"/>
  <c r="L54" i="51"/>
  <c r="N54" i="51" s="1"/>
  <c r="B54" i="51"/>
  <c r="Z53" i="51"/>
  <c r="X53" i="51"/>
  <c r="V53" i="51"/>
  <c r="L53" i="51"/>
  <c r="N53" i="51" s="1"/>
  <c r="B53" i="51"/>
  <c r="T52" i="51"/>
  <c r="P52" i="51"/>
  <c r="X52" i="51" s="1"/>
  <c r="H52" i="51"/>
  <c r="D52" i="51"/>
  <c r="L52" i="51" s="1"/>
  <c r="B52" i="51"/>
  <c r="X51" i="51"/>
  <c r="V51" i="51"/>
  <c r="T51" i="51"/>
  <c r="Z51" i="51" s="1"/>
  <c r="P51" i="51"/>
  <c r="L51" i="51"/>
  <c r="H51" i="51"/>
  <c r="N51" i="51" s="1"/>
  <c r="D51" i="51"/>
  <c r="Z47" i="51"/>
  <c r="X47" i="51"/>
  <c r="V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V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Z39" i="51"/>
  <c r="X39" i="51"/>
  <c r="V39" i="51"/>
  <c r="N39" i="51"/>
  <c r="L39" i="51"/>
  <c r="B39" i="51"/>
  <c r="Z38" i="51"/>
  <c r="X38" i="51"/>
  <c r="N38" i="51"/>
  <c r="L38" i="51"/>
  <c r="B38" i="51"/>
  <c r="Z37" i="51"/>
  <c r="X37" i="51"/>
  <c r="N37" i="51"/>
  <c r="L37" i="51"/>
  <c r="B37" i="51"/>
  <c r="Z36" i="51"/>
  <c r="X36" i="51"/>
  <c r="N36" i="51"/>
  <c r="L36" i="51"/>
  <c r="B36" i="51"/>
  <c r="Z35" i="51"/>
  <c r="X35" i="51"/>
  <c r="V35" i="51"/>
  <c r="N35" i="51"/>
  <c r="L35" i="51"/>
  <c r="B35" i="51"/>
  <c r="X34" i="51"/>
  <c r="Z34" i="51" s="1"/>
  <c r="L34" i="51"/>
  <c r="N34" i="51" s="1"/>
  <c r="B34" i="51"/>
  <c r="X33" i="51"/>
  <c r="T33" i="51"/>
  <c r="Z33" i="51" s="1"/>
  <c r="R33" i="51"/>
  <c r="P33" i="51"/>
  <c r="L33" i="51"/>
  <c r="J33" i="51"/>
  <c r="H33" i="51"/>
  <c r="N33" i="51" s="1"/>
  <c r="D33" i="51"/>
  <c r="Z31" i="51"/>
  <c r="X31" i="51"/>
  <c r="P31" i="51"/>
  <c r="N31" i="51"/>
  <c r="L31" i="51"/>
  <c r="D31" i="51"/>
  <c r="B31" i="51"/>
  <c r="Z30" i="51"/>
  <c r="X30" i="51"/>
  <c r="P30" i="51"/>
  <c r="N30" i="51"/>
  <c r="L30" i="51"/>
  <c r="D30" i="51"/>
  <c r="B30" i="51"/>
  <c r="Z29" i="51"/>
  <c r="P29" i="51"/>
  <c r="X29" i="51" s="1"/>
  <c r="N29" i="51"/>
  <c r="D29" i="51"/>
  <c r="L29" i="51" s="1"/>
  <c r="B29" i="51"/>
  <c r="Z28" i="51"/>
  <c r="X28" i="51"/>
  <c r="P28" i="51"/>
  <c r="N28" i="51"/>
  <c r="L28" i="51"/>
  <c r="D28" i="51"/>
  <c r="B28" i="51"/>
  <c r="Z27" i="51"/>
  <c r="X27" i="51"/>
  <c r="P27" i="5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P25" i="51"/>
  <c r="X25" i="51" s="1"/>
  <c r="N25" i="51"/>
  <c r="L25" i="51"/>
  <c r="D25" i="51"/>
  <c r="B25" i="51"/>
  <c r="Z24" i="51"/>
  <c r="P24" i="51"/>
  <c r="X24" i="51" s="1"/>
  <c r="N24" i="51"/>
  <c r="L24" i="51"/>
  <c r="D24" i="5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D22" i="51"/>
  <c r="L22" i="51" s="1"/>
  <c r="B22" i="51"/>
  <c r="Z21" i="51"/>
  <c r="X21" i="51"/>
  <c r="P21" i="51"/>
  <c r="N21" i="51"/>
  <c r="D21" i="51"/>
  <c r="L21" i="51" s="1"/>
  <c r="B21" i="51"/>
  <c r="Z20" i="51"/>
  <c r="P20" i="51"/>
  <c r="X20" i="51" s="1"/>
  <c r="N20" i="51"/>
  <c r="D20" i="51"/>
  <c r="L20" i="51" s="1"/>
  <c r="B20" i="51"/>
  <c r="X19" i="51"/>
  <c r="Z19" i="51" s="1"/>
  <c r="P19" i="51"/>
  <c r="L19" i="51"/>
  <c r="N19" i="51" s="1"/>
  <c r="D19" i="5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D17" i="51"/>
  <c r="L17" i="51" s="1"/>
  <c r="B17" i="51"/>
  <c r="Z16" i="51"/>
  <c r="X16" i="51"/>
  <c r="P16" i="51"/>
  <c r="N16" i="51"/>
  <c r="L16" i="51"/>
  <c r="D16" i="51"/>
  <c r="B16" i="51"/>
  <c r="Z15" i="51"/>
  <c r="X15" i="51"/>
  <c r="P15" i="51"/>
  <c r="N15" i="51"/>
  <c r="L15" i="51"/>
  <c r="D15" i="51"/>
  <c r="B15" i="51"/>
  <c r="Z14" i="51"/>
  <c r="P14" i="51"/>
  <c r="X14" i="51" s="1"/>
  <c r="N14" i="51"/>
  <c r="D14" i="51"/>
  <c r="L14" i="51" s="1"/>
  <c r="B14" i="51"/>
  <c r="P13" i="51"/>
  <c r="X13" i="51" s="1"/>
  <c r="Z13" i="51" s="1"/>
  <c r="L13" i="51"/>
  <c r="N13" i="51" s="1"/>
  <c r="D13" i="51"/>
  <c r="B13" i="51"/>
  <c r="T12" i="51"/>
  <c r="V79" i="51" s="1"/>
  <c r="P12" i="51"/>
  <c r="H12" i="51"/>
  <c r="J101" i="51" s="1"/>
  <c r="D4" i="51"/>
  <c r="X77" i="48"/>
  <c r="Z77" i="48" s="1"/>
  <c r="N77" i="48"/>
  <c r="L77" i="48"/>
  <c r="Z73" i="48"/>
  <c r="X73" i="48"/>
  <c r="P73" i="48"/>
  <c r="N73" i="48"/>
  <c r="L73" i="48"/>
  <c r="D73" i="48"/>
  <c r="B73" i="48"/>
  <c r="X72" i="48"/>
  <c r="T72" i="48"/>
  <c r="P72" i="48"/>
  <c r="N72" i="48"/>
  <c r="H72" i="48"/>
  <c r="L72" i="48" s="1"/>
  <c r="D72" i="48"/>
  <c r="X70" i="48"/>
  <c r="Z70" i="48" s="1"/>
  <c r="L70" i="48"/>
  <c r="N70" i="48" s="1"/>
  <c r="B70" i="48"/>
  <c r="T69" i="48"/>
  <c r="P69" i="48"/>
  <c r="X69" i="48" s="1"/>
  <c r="Z69" i="48" s="1"/>
  <c r="H69" i="48"/>
  <c r="D69" i="48"/>
  <c r="B69" i="48"/>
  <c r="X68" i="48"/>
  <c r="Z68" i="48" s="1"/>
  <c r="L68" i="48"/>
  <c r="N68" i="48" s="1"/>
  <c r="B68" i="48"/>
  <c r="X67" i="48"/>
  <c r="Z67" i="48" s="1"/>
  <c r="T67" i="48"/>
  <c r="P67" i="48"/>
  <c r="H67" i="48"/>
  <c r="D67" i="48"/>
  <c r="L67" i="48" s="1"/>
  <c r="N67" i="48" s="1"/>
  <c r="B67" i="48"/>
  <c r="Z66" i="48"/>
  <c r="X66" i="48"/>
  <c r="N66" i="48"/>
  <c r="L66" i="48"/>
  <c r="B66" i="48"/>
  <c r="X65" i="48"/>
  <c r="Z65" i="48" s="1"/>
  <c r="N65" i="48"/>
  <c r="L65" i="48"/>
  <c r="B65" i="48"/>
  <c r="T64" i="48"/>
  <c r="P64" i="48"/>
  <c r="X64" i="48" s="1"/>
  <c r="Z64" i="48" s="1"/>
  <c r="H64" i="48"/>
  <c r="D64" i="48"/>
  <c r="L64" i="48" s="1"/>
  <c r="N64" i="48" s="1"/>
  <c r="B64" i="48"/>
  <c r="Z63" i="48"/>
  <c r="X63" i="48"/>
  <c r="L63" i="48"/>
  <c r="N63" i="48" s="1"/>
  <c r="B63" i="48"/>
  <c r="T62" i="48"/>
  <c r="P62" i="48"/>
  <c r="H62" i="48"/>
  <c r="L62" i="48" s="1"/>
  <c r="N62" i="48" s="1"/>
  <c r="D62" i="48"/>
  <c r="B62" i="48"/>
  <c r="Z61" i="48"/>
  <c r="X61" i="48"/>
  <c r="N61" i="48"/>
  <c r="L61" i="48"/>
  <c r="F61" i="48"/>
  <c r="B61" i="48"/>
  <c r="Z60" i="48"/>
  <c r="X60" i="48"/>
  <c r="N60" i="48"/>
  <c r="L60" i="48"/>
  <c r="B60" i="48"/>
  <c r="X59" i="48"/>
  <c r="Z59" i="48" s="1"/>
  <c r="L59" i="48"/>
  <c r="N59" i="48" s="1"/>
  <c r="B59" i="48"/>
  <c r="Z58" i="48"/>
  <c r="X58" i="48"/>
  <c r="N58" i="48"/>
  <c r="L58" i="48"/>
  <c r="B58" i="48"/>
  <c r="X57" i="48"/>
  <c r="Z57" i="48" s="1"/>
  <c r="T57" i="48"/>
  <c r="P57" i="48"/>
  <c r="N57" i="48"/>
  <c r="L57" i="48"/>
  <c r="J57" i="48"/>
  <c r="H57" i="48"/>
  <c r="D57" i="48"/>
  <c r="B57" i="48"/>
  <c r="Z56" i="48"/>
  <c r="X56" i="48"/>
  <c r="N56" i="48"/>
  <c r="L56" i="48"/>
  <c r="B56" i="48"/>
  <c r="X55" i="48"/>
  <c r="T55" i="48"/>
  <c r="P55" i="48"/>
  <c r="H55" i="48"/>
  <c r="D55" i="48"/>
  <c r="B55" i="48"/>
  <c r="Z54" i="48"/>
  <c r="X54" i="48"/>
  <c r="N54" i="48"/>
  <c r="L54" i="48"/>
  <c r="B54" i="48"/>
  <c r="T53" i="48"/>
  <c r="Z53" i="48" s="1"/>
  <c r="P53" i="48"/>
  <c r="X53" i="48" s="1"/>
  <c r="H53" i="48"/>
  <c r="D53" i="48"/>
  <c r="B53" i="48"/>
  <c r="X52" i="48"/>
  <c r="Z52" i="48" s="1"/>
  <c r="R52" i="48"/>
  <c r="L52" i="48"/>
  <c r="N52" i="48" s="1"/>
  <c r="B52" i="48"/>
  <c r="Z51" i="48"/>
  <c r="X51" i="48"/>
  <c r="T51" i="48"/>
  <c r="P51" i="48"/>
  <c r="N51" i="48"/>
  <c r="L51" i="48"/>
  <c r="H51" i="48"/>
  <c r="D51" i="48"/>
  <c r="B51" i="48"/>
  <c r="Z50" i="48"/>
  <c r="X50" i="48"/>
  <c r="N50" i="48"/>
  <c r="L50" i="48"/>
  <c r="F50" i="48"/>
  <c r="B50" i="48"/>
  <c r="Z49" i="48"/>
  <c r="X49" i="48"/>
  <c r="N49" i="48"/>
  <c r="L49" i="48"/>
  <c r="F49" i="48"/>
  <c r="B49" i="48"/>
  <c r="X48" i="48"/>
  <c r="Z48" i="48" s="1"/>
  <c r="T48" i="48"/>
  <c r="R48" i="48"/>
  <c r="P48" i="48"/>
  <c r="H48" i="48"/>
  <c r="D48" i="48"/>
  <c r="L48" i="48" s="1"/>
  <c r="B48" i="48"/>
  <c r="X47" i="48"/>
  <c r="Z47" i="48" s="1"/>
  <c r="L47" i="48"/>
  <c r="N47" i="48" s="1"/>
  <c r="B47" i="48"/>
  <c r="T46" i="48"/>
  <c r="P46" i="48"/>
  <c r="X46" i="48" s="1"/>
  <c r="Z46" i="48" s="1"/>
  <c r="J46" i="48"/>
  <c r="H46" i="48"/>
  <c r="D46" i="48"/>
  <c r="L46" i="48" s="1"/>
  <c r="N46" i="48" s="1"/>
  <c r="B46" i="48"/>
  <c r="X45" i="48"/>
  <c r="Z45" i="48" s="1"/>
  <c r="N45" i="48"/>
  <c r="L45" i="48"/>
  <c r="F45" i="48"/>
  <c r="B45" i="48"/>
  <c r="X44" i="48"/>
  <c r="T44" i="48"/>
  <c r="Z44" i="48" s="1"/>
  <c r="P44" i="48"/>
  <c r="L44" i="48"/>
  <c r="H44" i="48"/>
  <c r="N44" i="48" s="1"/>
  <c r="F44" i="48"/>
  <c r="D44" i="48"/>
  <c r="B44" i="48"/>
  <c r="X43" i="48"/>
  <c r="Z43" i="48" s="1"/>
  <c r="L43" i="48"/>
  <c r="N43" i="48" s="1"/>
  <c r="F43" i="48"/>
  <c r="B43" i="48"/>
  <c r="T42" i="48"/>
  <c r="P42" i="48"/>
  <c r="X42" i="48" s="1"/>
  <c r="Z42" i="48" s="1"/>
  <c r="H42" i="48"/>
  <c r="F42" i="48"/>
  <c r="D42" i="48"/>
  <c r="L42" i="48" s="1"/>
  <c r="N42" i="48" s="1"/>
  <c r="B42" i="48"/>
  <c r="Z41" i="48"/>
  <c r="X41" i="48"/>
  <c r="N41" i="48"/>
  <c r="L41" i="48"/>
  <c r="B41" i="48"/>
  <c r="Z40" i="48"/>
  <c r="X40" i="48"/>
  <c r="N40" i="48"/>
  <c r="L40" i="48"/>
  <c r="B40" i="48"/>
  <c r="X39" i="48"/>
  <c r="Z39" i="48" s="1"/>
  <c r="L39" i="48"/>
  <c r="N39" i="48" s="1"/>
  <c r="B39" i="48"/>
  <c r="Z38" i="48"/>
  <c r="X38" i="48"/>
  <c r="N38" i="48"/>
  <c r="L38" i="48"/>
  <c r="B38" i="48"/>
  <c r="Z37" i="48"/>
  <c r="X37" i="48"/>
  <c r="N37" i="48"/>
  <c r="L37" i="48"/>
  <c r="B37" i="48"/>
  <c r="Z36" i="48"/>
  <c r="X36" i="48"/>
  <c r="N36" i="48"/>
  <c r="L36" i="48"/>
  <c r="B36" i="48"/>
  <c r="X35" i="48"/>
  <c r="Z35" i="48" s="1"/>
  <c r="L35" i="48"/>
  <c r="N35" i="48" s="1"/>
  <c r="B35" i="48"/>
  <c r="Z34" i="48"/>
  <c r="X34" i="48"/>
  <c r="N34" i="48"/>
  <c r="L34" i="48"/>
  <c r="B34" i="48"/>
  <c r="X33" i="48"/>
  <c r="Z33" i="48" s="1"/>
  <c r="L33" i="48"/>
  <c r="N33" i="48" s="1"/>
  <c r="B33" i="48"/>
  <c r="Z32" i="48"/>
  <c r="X32" i="48"/>
  <c r="L32" i="48"/>
  <c r="N32" i="48" s="1"/>
  <c r="B32" i="48"/>
  <c r="T31" i="48"/>
  <c r="Z31" i="48" s="1"/>
  <c r="P31" i="48"/>
  <c r="X31" i="48" s="1"/>
  <c r="H31" i="48"/>
  <c r="D31" i="48"/>
  <c r="L31" i="48" s="1"/>
  <c r="B31" i="48"/>
  <c r="X30" i="48"/>
  <c r="Z30" i="48" s="1"/>
  <c r="N30" i="48"/>
  <c r="L30" i="48"/>
  <c r="F30" i="48"/>
  <c r="B30" i="48"/>
  <c r="X29" i="48"/>
  <c r="Z29" i="48" s="1"/>
  <c r="N29" i="48"/>
  <c r="L29" i="48"/>
  <c r="F29" i="48"/>
  <c r="B29" i="48"/>
  <c r="X28" i="48"/>
  <c r="Z28" i="48" s="1"/>
  <c r="N28" i="48"/>
  <c r="L28" i="48"/>
  <c r="F28" i="48"/>
  <c r="B28" i="48"/>
  <c r="Z27" i="48"/>
  <c r="X27" i="48"/>
  <c r="N27" i="48"/>
  <c r="L27" i="48"/>
  <c r="F27" i="48"/>
  <c r="B27" i="48"/>
  <c r="Z26" i="48"/>
  <c r="X26" i="48"/>
  <c r="N26" i="48"/>
  <c r="L26" i="48"/>
  <c r="F26" i="48"/>
  <c r="B26" i="48"/>
  <c r="X25" i="48"/>
  <c r="Z25" i="48" s="1"/>
  <c r="N25" i="48"/>
  <c r="L25" i="48"/>
  <c r="F25" i="48"/>
  <c r="B25" i="48"/>
  <c r="X24" i="48"/>
  <c r="Z24" i="48" s="1"/>
  <c r="N24" i="48"/>
  <c r="L24" i="48"/>
  <c r="F24" i="48"/>
  <c r="B24" i="48"/>
  <c r="X23" i="48"/>
  <c r="Z23" i="48" s="1"/>
  <c r="L23" i="48"/>
  <c r="N23" i="48" s="1"/>
  <c r="F23" i="48"/>
  <c r="B23" i="48"/>
  <c r="X22" i="48"/>
  <c r="Z22" i="48" s="1"/>
  <c r="N22" i="48"/>
  <c r="L22" i="48"/>
  <c r="F22" i="48"/>
  <c r="B22" i="48"/>
  <c r="X21" i="48"/>
  <c r="Z21" i="48" s="1"/>
  <c r="N21" i="48"/>
  <c r="L21" i="48"/>
  <c r="F21" i="48"/>
  <c r="B21" i="48"/>
  <c r="X20" i="48"/>
  <c r="T20" i="48"/>
  <c r="Z20" i="48" s="1"/>
  <c r="P20" i="48"/>
  <c r="L20" i="48"/>
  <c r="H20" i="48"/>
  <c r="N20" i="48" s="1"/>
  <c r="F20" i="48"/>
  <c r="D20" i="48"/>
  <c r="B20" i="48"/>
  <c r="T19" i="48"/>
  <c r="P19" i="48"/>
  <c r="H19" i="48"/>
  <c r="D19" i="48"/>
  <c r="T15" i="48"/>
  <c r="Z15" i="48" s="1"/>
  <c r="P15" i="48"/>
  <c r="H15" i="48"/>
  <c r="D15" i="48"/>
  <c r="X13" i="48"/>
  <c r="Z13" i="48" s="1"/>
  <c r="P13" i="48"/>
  <c r="P12" i="48" s="1"/>
  <c r="D13" i="48"/>
  <c r="L13" i="48" s="1"/>
  <c r="N13" i="48" s="1"/>
  <c r="B13" i="48"/>
  <c r="T12" i="48"/>
  <c r="H12" i="48"/>
  <c r="J63" i="48" s="1"/>
  <c r="D12" i="48"/>
  <c r="F53" i="48" s="1"/>
  <c r="D4" i="48"/>
  <c r="Z104" i="45"/>
  <c r="X104" i="45"/>
  <c r="L104" i="45"/>
  <c r="N104" i="45" s="1"/>
  <c r="Z100" i="45"/>
  <c r="X100" i="45"/>
  <c r="T100" i="45"/>
  <c r="P100" i="45"/>
  <c r="N100" i="45"/>
  <c r="L100" i="45"/>
  <c r="H100" i="45"/>
  <c r="D100" i="45"/>
  <c r="Z98" i="45"/>
  <c r="X98" i="45"/>
  <c r="N98" i="45"/>
  <c r="L98" i="45"/>
  <c r="B98" i="45"/>
  <c r="X97" i="45"/>
  <c r="Z97" i="45" s="1"/>
  <c r="N97" i="45"/>
  <c r="L97" i="45"/>
  <c r="B97" i="45"/>
  <c r="X96" i="45"/>
  <c r="Z96" i="45" s="1"/>
  <c r="T96" i="45"/>
  <c r="P96" i="45"/>
  <c r="L96" i="45"/>
  <c r="N96" i="45" s="1"/>
  <c r="H96" i="45"/>
  <c r="D96" i="45"/>
  <c r="B96" i="45"/>
  <c r="Z95" i="45"/>
  <c r="X95" i="45"/>
  <c r="N95" i="45"/>
  <c r="L95" i="45"/>
  <c r="J95" i="45"/>
  <c r="B95" i="45"/>
  <c r="T94" i="45"/>
  <c r="P94" i="45"/>
  <c r="H94" i="45"/>
  <c r="D94" i="45"/>
  <c r="B94" i="45"/>
  <c r="Z93" i="45"/>
  <c r="X93" i="45"/>
  <c r="V93" i="45"/>
  <c r="L93" i="45"/>
  <c r="N93" i="45" s="1"/>
  <c r="B93" i="45"/>
  <c r="X92" i="45"/>
  <c r="Z92" i="45" s="1"/>
  <c r="L92" i="45"/>
  <c r="N92" i="45" s="1"/>
  <c r="B92" i="45"/>
  <c r="V91" i="45"/>
  <c r="T91" i="45"/>
  <c r="P91" i="45"/>
  <c r="X91" i="45" s="1"/>
  <c r="Z91" i="45" s="1"/>
  <c r="J91" i="45"/>
  <c r="H91" i="45"/>
  <c r="D91" i="45"/>
  <c r="L91" i="45" s="1"/>
  <c r="N91" i="45" s="1"/>
  <c r="B91" i="45"/>
  <c r="X90" i="45"/>
  <c r="Z90" i="45" s="1"/>
  <c r="N90" i="45"/>
  <c r="L90" i="45"/>
  <c r="B90" i="45"/>
  <c r="X89" i="45"/>
  <c r="Z89" i="45" s="1"/>
  <c r="N89" i="45"/>
  <c r="L89" i="45"/>
  <c r="B89" i="45"/>
  <c r="X88" i="45"/>
  <c r="Z88" i="45" s="1"/>
  <c r="L88" i="45"/>
  <c r="N88" i="45" s="1"/>
  <c r="B88" i="45"/>
  <c r="X87" i="45"/>
  <c r="Z87" i="45" s="1"/>
  <c r="N87" i="45"/>
  <c r="L87" i="45"/>
  <c r="B87" i="45"/>
  <c r="X86" i="45"/>
  <c r="Z86" i="45" s="1"/>
  <c r="N86" i="45"/>
  <c r="L86" i="45"/>
  <c r="B86" i="45"/>
  <c r="X85" i="45"/>
  <c r="Z85" i="45" s="1"/>
  <c r="N85" i="45"/>
  <c r="L85" i="45"/>
  <c r="B85" i="45"/>
  <c r="X84" i="45"/>
  <c r="Z84" i="45" s="1"/>
  <c r="L84" i="45"/>
  <c r="N84" i="45" s="1"/>
  <c r="B84" i="45"/>
  <c r="X83" i="45"/>
  <c r="Z83" i="45" s="1"/>
  <c r="N83" i="45"/>
  <c r="L83" i="45"/>
  <c r="B83" i="45"/>
  <c r="X82" i="45"/>
  <c r="Z82" i="45" s="1"/>
  <c r="N82" i="45"/>
  <c r="L82" i="45"/>
  <c r="B82" i="45"/>
  <c r="X81" i="45"/>
  <c r="Z81" i="45" s="1"/>
  <c r="N81" i="45"/>
  <c r="L81" i="45"/>
  <c r="B81" i="45"/>
  <c r="X80" i="45"/>
  <c r="Z80" i="45" s="1"/>
  <c r="T80" i="45"/>
  <c r="P80" i="45"/>
  <c r="L80" i="45"/>
  <c r="N80" i="45" s="1"/>
  <c r="H80" i="45"/>
  <c r="D80" i="45"/>
  <c r="B80" i="45"/>
  <c r="Z79" i="45"/>
  <c r="X79" i="45"/>
  <c r="N79" i="45"/>
  <c r="L79" i="45"/>
  <c r="J79" i="45"/>
  <c r="B79" i="45"/>
  <c r="T78" i="45"/>
  <c r="P78" i="45"/>
  <c r="H78" i="45"/>
  <c r="D78" i="45"/>
  <c r="B78" i="45"/>
  <c r="X77" i="45"/>
  <c r="Z77" i="45" s="1"/>
  <c r="V77" i="45"/>
  <c r="L77" i="45"/>
  <c r="N77" i="45" s="1"/>
  <c r="B77" i="45"/>
  <c r="X76" i="45"/>
  <c r="Z76" i="45" s="1"/>
  <c r="L76" i="45"/>
  <c r="N76" i="45" s="1"/>
  <c r="B76" i="45"/>
  <c r="Z75" i="45"/>
  <c r="X75" i="45"/>
  <c r="V75" i="45"/>
  <c r="L75" i="45"/>
  <c r="N75" i="45" s="1"/>
  <c r="B75" i="45"/>
  <c r="X74" i="45"/>
  <c r="Z74" i="45" s="1"/>
  <c r="L74" i="45"/>
  <c r="N74" i="45" s="1"/>
  <c r="B74" i="45"/>
  <c r="X73" i="45"/>
  <c r="Z73" i="45" s="1"/>
  <c r="V73" i="45"/>
  <c r="T73" i="45"/>
  <c r="P73" i="45"/>
  <c r="J73" i="45"/>
  <c r="H73" i="45"/>
  <c r="D73" i="45"/>
  <c r="L73" i="45" s="1"/>
  <c r="N73" i="45" s="1"/>
  <c r="B73" i="45"/>
  <c r="X72" i="45"/>
  <c r="Z72" i="45" s="1"/>
  <c r="L72" i="45"/>
  <c r="N72" i="45" s="1"/>
  <c r="B72" i="45"/>
  <c r="X71" i="45"/>
  <c r="Z71" i="45" s="1"/>
  <c r="N71" i="45"/>
  <c r="L71" i="45"/>
  <c r="B71" i="45"/>
  <c r="X70" i="45"/>
  <c r="Z70" i="45" s="1"/>
  <c r="N70" i="45"/>
  <c r="L70" i="45"/>
  <c r="J70" i="45"/>
  <c r="B70" i="45"/>
  <c r="X69" i="45"/>
  <c r="Z69" i="45" s="1"/>
  <c r="N69" i="45"/>
  <c r="L69" i="45"/>
  <c r="B69" i="45"/>
  <c r="X68" i="45"/>
  <c r="Z68" i="45" s="1"/>
  <c r="T68" i="45"/>
  <c r="P68" i="45"/>
  <c r="L68" i="45"/>
  <c r="N68" i="45" s="1"/>
  <c r="H68" i="45"/>
  <c r="D68" i="45"/>
  <c r="B68" i="45"/>
  <c r="Z67" i="45"/>
  <c r="X67" i="45"/>
  <c r="N67" i="45"/>
  <c r="L67" i="45"/>
  <c r="J67" i="45"/>
  <c r="B67" i="45"/>
  <c r="T66" i="45"/>
  <c r="P66" i="45"/>
  <c r="H66" i="45"/>
  <c r="D66" i="45"/>
  <c r="B66" i="45"/>
  <c r="X65" i="45"/>
  <c r="Z65" i="45" s="1"/>
  <c r="L65" i="45"/>
  <c r="N65" i="45" s="1"/>
  <c r="J65" i="45"/>
  <c r="B65" i="45"/>
  <c r="T64" i="45"/>
  <c r="Z64" i="45" s="1"/>
  <c r="P64" i="45"/>
  <c r="X64" i="45" s="1"/>
  <c r="H64" i="45"/>
  <c r="D64" i="45"/>
  <c r="L64" i="45" s="1"/>
  <c r="B64" i="45"/>
  <c r="X63" i="45"/>
  <c r="Z63" i="45" s="1"/>
  <c r="N63" i="45"/>
  <c r="L63" i="45"/>
  <c r="B63" i="45"/>
  <c r="X62" i="45"/>
  <c r="T62" i="45"/>
  <c r="P62" i="45"/>
  <c r="L62" i="45"/>
  <c r="N62" i="45" s="1"/>
  <c r="H62" i="45"/>
  <c r="D62" i="45"/>
  <c r="B62" i="45"/>
  <c r="Z61" i="45"/>
  <c r="X61" i="45"/>
  <c r="L61" i="45"/>
  <c r="N61" i="45" s="1"/>
  <c r="J61" i="45"/>
  <c r="B61" i="45"/>
  <c r="T60" i="45"/>
  <c r="P60" i="45"/>
  <c r="H60" i="45"/>
  <c r="D60" i="45"/>
  <c r="B60" i="45"/>
  <c r="Z59" i="45"/>
  <c r="X59" i="45"/>
  <c r="V59" i="45"/>
  <c r="L59" i="45"/>
  <c r="N59" i="45" s="1"/>
  <c r="J59" i="45"/>
  <c r="B59" i="45"/>
  <c r="T58" i="45"/>
  <c r="Z58" i="45" s="1"/>
  <c r="P58" i="45"/>
  <c r="X58" i="45" s="1"/>
  <c r="H58" i="45"/>
  <c r="D58" i="45"/>
  <c r="L58" i="45" s="1"/>
  <c r="B58" i="45"/>
  <c r="X57" i="45"/>
  <c r="Z57" i="45" s="1"/>
  <c r="N57" i="45"/>
  <c r="L57" i="45"/>
  <c r="B57" i="45"/>
  <c r="X56" i="45"/>
  <c r="Z56" i="45" s="1"/>
  <c r="T56" i="45"/>
  <c r="P56" i="45"/>
  <c r="L56" i="45"/>
  <c r="N56" i="45" s="1"/>
  <c r="H56" i="45"/>
  <c r="D56" i="45"/>
  <c r="B56" i="45"/>
  <c r="Z55" i="45"/>
  <c r="X55" i="45"/>
  <c r="N55" i="45"/>
  <c r="L55" i="45"/>
  <c r="J55" i="45"/>
  <c r="B55" i="45"/>
  <c r="V54" i="45"/>
  <c r="T54" i="45"/>
  <c r="P54" i="45"/>
  <c r="N54" i="45"/>
  <c r="H54" i="45"/>
  <c r="L54" i="45" s="1"/>
  <c r="D54" i="45"/>
  <c r="B54" i="45"/>
  <c r="X53" i="45"/>
  <c r="Z53" i="45" s="1"/>
  <c r="V53" i="45"/>
  <c r="L53" i="45"/>
  <c r="N53" i="45" s="1"/>
  <c r="J53" i="45"/>
  <c r="B53" i="45"/>
  <c r="T52" i="45"/>
  <c r="Z52" i="45" s="1"/>
  <c r="P52" i="45"/>
  <c r="X52" i="45" s="1"/>
  <c r="J52" i="45"/>
  <c r="H52" i="45"/>
  <c r="D52" i="45"/>
  <c r="L52" i="45" s="1"/>
  <c r="B52" i="45"/>
  <c r="X51" i="45"/>
  <c r="Z51" i="45" s="1"/>
  <c r="N51" i="45"/>
  <c r="L51" i="45"/>
  <c r="B51" i="45"/>
  <c r="X50" i="45"/>
  <c r="T50" i="45"/>
  <c r="Z50" i="45" s="1"/>
  <c r="P50" i="45"/>
  <c r="L50" i="45"/>
  <c r="N50" i="45" s="1"/>
  <c r="H50" i="45"/>
  <c r="D50" i="45"/>
  <c r="B50" i="45"/>
  <c r="Z49" i="45"/>
  <c r="X49" i="45"/>
  <c r="L49" i="45"/>
  <c r="N49" i="45" s="1"/>
  <c r="J49" i="45"/>
  <c r="B49" i="45"/>
  <c r="Z48" i="45"/>
  <c r="T48" i="45"/>
  <c r="X48" i="45" s="1"/>
  <c r="P48" i="45"/>
  <c r="H48" i="45"/>
  <c r="D48" i="45"/>
  <c r="B48" i="45"/>
  <c r="Z47" i="45"/>
  <c r="X47" i="45"/>
  <c r="V47" i="45"/>
  <c r="N47" i="45"/>
  <c r="L47" i="45"/>
  <c r="J47" i="45"/>
  <c r="B47" i="45"/>
  <c r="Z46" i="45"/>
  <c r="X46" i="45"/>
  <c r="V46" i="45"/>
  <c r="N46" i="45"/>
  <c r="L46" i="45"/>
  <c r="B46" i="45"/>
  <c r="X45" i="45"/>
  <c r="Z45" i="45" s="1"/>
  <c r="V45" i="45"/>
  <c r="L45" i="45"/>
  <c r="N45" i="45" s="1"/>
  <c r="J45" i="45"/>
  <c r="B45" i="45"/>
  <c r="X44" i="45"/>
  <c r="Z44" i="45" s="1"/>
  <c r="N44" i="45"/>
  <c r="L44" i="45"/>
  <c r="B44" i="45"/>
  <c r="Z43" i="45"/>
  <c r="X43" i="45"/>
  <c r="N43" i="45"/>
  <c r="L43" i="45"/>
  <c r="J43" i="45"/>
  <c r="B43" i="45"/>
  <c r="X42" i="45"/>
  <c r="Z42" i="45" s="1"/>
  <c r="V42" i="45"/>
  <c r="L42" i="45"/>
  <c r="N42" i="45" s="1"/>
  <c r="B42" i="45"/>
  <c r="X41" i="45"/>
  <c r="Z41" i="45" s="1"/>
  <c r="L41" i="45"/>
  <c r="N41" i="45" s="1"/>
  <c r="J41" i="45"/>
  <c r="B41" i="45"/>
  <c r="Z40" i="45"/>
  <c r="X40" i="45"/>
  <c r="N40" i="45"/>
  <c r="L40" i="45"/>
  <c r="B40" i="45"/>
  <c r="Z39" i="45"/>
  <c r="X39" i="45"/>
  <c r="V39" i="45"/>
  <c r="L39" i="45"/>
  <c r="N39" i="45" s="1"/>
  <c r="J39" i="45"/>
  <c r="B39" i="45"/>
  <c r="Z38" i="45"/>
  <c r="X38" i="45"/>
  <c r="N38" i="45"/>
  <c r="L38" i="45"/>
  <c r="B38" i="45"/>
  <c r="X37" i="45"/>
  <c r="Z37" i="45" s="1"/>
  <c r="V37" i="45"/>
  <c r="T37" i="45"/>
  <c r="P37" i="45"/>
  <c r="J37" i="45"/>
  <c r="H37" i="45"/>
  <c r="D37" i="45"/>
  <c r="L37" i="45" s="1"/>
  <c r="N37" i="45" s="1"/>
  <c r="B37" i="45"/>
  <c r="X36" i="45"/>
  <c r="Z36" i="45" s="1"/>
  <c r="N36" i="45"/>
  <c r="L36" i="45"/>
  <c r="B36" i="45"/>
  <c r="X35" i="45"/>
  <c r="Z35" i="45" s="1"/>
  <c r="N35" i="45"/>
  <c r="L35" i="45"/>
  <c r="B35" i="45"/>
  <c r="X34" i="45"/>
  <c r="Z34" i="45" s="1"/>
  <c r="L34" i="45"/>
  <c r="N34" i="45" s="1"/>
  <c r="J34" i="45"/>
  <c r="B34" i="45"/>
  <c r="Z33" i="45"/>
  <c r="X33" i="45"/>
  <c r="N33" i="45"/>
  <c r="L33" i="45"/>
  <c r="B33" i="45"/>
  <c r="Z32" i="45"/>
  <c r="X32" i="45"/>
  <c r="N32" i="45"/>
  <c r="L32" i="45"/>
  <c r="B32" i="45"/>
  <c r="X31" i="45"/>
  <c r="Z31" i="45" s="1"/>
  <c r="V31" i="45"/>
  <c r="N31" i="45"/>
  <c r="L31" i="45"/>
  <c r="B31" i="45"/>
  <c r="X30" i="45"/>
  <c r="Z30" i="45" s="1"/>
  <c r="L30" i="45"/>
  <c r="N30" i="45" s="1"/>
  <c r="J30" i="45"/>
  <c r="B30" i="45"/>
  <c r="X29" i="45"/>
  <c r="Z29" i="45" s="1"/>
  <c r="N29" i="45"/>
  <c r="L29" i="45"/>
  <c r="B29" i="45"/>
  <c r="Z28" i="45"/>
  <c r="X28" i="45"/>
  <c r="N28" i="45"/>
  <c r="L28" i="45"/>
  <c r="J28" i="45"/>
  <c r="B28" i="45"/>
  <c r="X27" i="45"/>
  <c r="Z27" i="45" s="1"/>
  <c r="V27" i="45"/>
  <c r="N27" i="45"/>
  <c r="L27" i="45"/>
  <c r="B27" i="45"/>
  <c r="X26" i="45"/>
  <c r="Z26" i="45" s="1"/>
  <c r="T26" i="45"/>
  <c r="P26" i="45"/>
  <c r="L26" i="45"/>
  <c r="N26" i="45" s="1"/>
  <c r="H26" i="45"/>
  <c r="D26" i="45"/>
  <c r="B26" i="45"/>
  <c r="T25" i="45"/>
  <c r="P25" i="45"/>
  <c r="X25" i="45" s="1"/>
  <c r="Z25" i="45" s="1"/>
  <c r="H25" i="45"/>
  <c r="D25" i="45"/>
  <c r="T23" i="45"/>
  <c r="T102" i="45" s="1"/>
  <c r="T106" i="45" s="1"/>
  <c r="Z21" i="45"/>
  <c r="X21" i="45"/>
  <c r="N21" i="45"/>
  <c r="L21" i="45"/>
  <c r="J21" i="45"/>
  <c r="B21" i="45"/>
  <c r="Z20" i="45"/>
  <c r="X20" i="45"/>
  <c r="N20" i="45"/>
  <c r="L20" i="45"/>
  <c r="J20" i="45"/>
  <c r="B20" i="45"/>
  <c r="Z19" i="45"/>
  <c r="X19" i="45"/>
  <c r="N19" i="45"/>
  <c r="L19" i="45"/>
  <c r="J19" i="45"/>
  <c r="B19" i="45"/>
  <c r="V18" i="45"/>
  <c r="T18" i="45"/>
  <c r="P18" i="45"/>
  <c r="H18" i="45"/>
  <c r="D18" i="45"/>
  <c r="Z16" i="45"/>
  <c r="P16" i="45"/>
  <c r="X16" i="45" s="1"/>
  <c r="N16" i="45"/>
  <c r="D16" i="45"/>
  <c r="L16" i="45" s="1"/>
  <c r="B16" i="45"/>
  <c r="Z15" i="45"/>
  <c r="P15" i="45"/>
  <c r="N15" i="45"/>
  <c r="D15" i="45"/>
  <c r="L15" i="45" s="1"/>
  <c r="B15" i="45"/>
  <c r="X14" i="45"/>
  <c r="Z14" i="45" s="1"/>
  <c r="P14" i="45"/>
  <c r="L14" i="45"/>
  <c r="N14" i="45" s="1"/>
  <c r="D14" i="45"/>
  <c r="B14" i="45"/>
  <c r="Z13" i="45"/>
  <c r="P13" i="45"/>
  <c r="X13" i="45" s="1"/>
  <c r="N13" i="45"/>
  <c r="D13" i="45"/>
  <c r="B13" i="45"/>
  <c r="T12" i="45"/>
  <c r="V41" i="45" s="1"/>
  <c r="H12" i="45"/>
  <c r="J87" i="45" s="1"/>
  <c r="D4" i="45"/>
  <c r="Z123" i="42"/>
  <c r="X123" i="42"/>
  <c r="N123" i="42"/>
  <c r="L123" i="42"/>
  <c r="Z119" i="42"/>
  <c r="X119" i="42"/>
  <c r="P119" i="42"/>
  <c r="N119" i="42"/>
  <c r="D119" i="42"/>
  <c r="L119" i="42" s="1"/>
  <c r="B119" i="42"/>
  <c r="P118" i="42"/>
  <c r="X118" i="42" s="1"/>
  <c r="Z118" i="42" s="1"/>
  <c r="N118" i="42"/>
  <c r="D118" i="42"/>
  <c r="L118" i="42" s="1"/>
  <c r="B118" i="42"/>
  <c r="P117" i="42"/>
  <c r="X117" i="42" s="1"/>
  <c r="Z117" i="42" s="1"/>
  <c r="D117" i="42"/>
  <c r="D115" i="42" s="1"/>
  <c r="L115" i="42" s="1"/>
  <c r="B117" i="42"/>
  <c r="X116" i="42"/>
  <c r="Z116" i="42" s="1"/>
  <c r="P116" i="42"/>
  <c r="L116" i="42"/>
  <c r="N116" i="42" s="1"/>
  <c r="D116" i="42"/>
  <c r="B116" i="42"/>
  <c r="T115" i="42"/>
  <c r="N115" i="42"/>
  <c r="H115" i="42"/>
  <c r="X113" i="42"/>
  <c r="Z113" i="42" s="1"/>
  <c r="L113" i="42"/>
  <c r="N113" i="42" s="1"/>
  <c r="B113" i="42"/>
  <c r="V112" i="42"/>
  <c r="T112" i="42"/>
  <c r="P112" i="42"/>
  <c r="H112" i="42"/>
  <c r="D112" i="42"/>
  <c r="B112" i="42"/>
  <c r="Z111" i="42"/>
  <c r="X111" i="42"/>
  <c r="N111" i="42"/>
  <c r="L111" i="42"/>
  <c r="B111" i="42"/>
  <c r="Z110" i="42"/>
  <c r="X110" i="42"/>
  <c r="N110" i="42"/>
  <c r="L110" i="42"/>
  <c r="B110" i="42"/>
  <c r="Z109" i="42"/>
  <c r="X109" i="42"/>
  <c r="N109" i="42"/>
  <c r="L109" i="42"/>
  <c r="B109" i="42"/>
  <c r="Z108" i="42"/>
  <c r="T108" i="42"/>
  <c r="P108" i="42"/>
  <c r="X108" i="42" s="1"/>
  <c r="N108" i="42"/>
  <c r="H108" i="42"/>
  <c r="D108" i="42"/>
  <c r="L108" i="42" s="1"/>
  <c r="B108" i="42"/>
  <c r="Z107" i="42"/>
  <c r="X107" i="42"/>
  <c r="N107" i="42"/>
  <c r="L107" i="42"/>
  <c r="J107" i="42"/>
  <c r="B107" i="42"/>
  <c r="T106" i="42"/>
  <c r="Z106" i="42" s="1"/>
  <c r="P106" i="42"/>
  <c r="H106" i="42"/>
  <c r="N106" i="42" s="1"/>
  <c r="D106" i="42"/>
  <c r="B106" i="42"/>
  <c r="Z105" i="42"/>
  <c r="X105" i="42"/>
  <c r="L105" i="42"/>
  <c r="N105" i="42" s="1"/>
  <c r="B105" i="42"/>
  <c r="X104" i="42"/>
  <c r="Z104" i="42" s="1"/>
  <c r="L104" i="42"/>
  <c r="N104" i="42" s="1"/>
  <c r="B104" i="42"/>
  <c r="T103" i="42"/>
  <c r="P103" i="42"/>
  <c r="X103" i="42" s="1"/>
  <c r="Z103" i="42" s="1"/>
  <c r="H103" i="42"/>
  <c r="D103" i="42"/>
  <c r="L103" i="42" s="1"/>
  <c r="N103" i="42" s="1"/>
  <c r="B103" i="42"/>
  <c r="Z102" i="42"/>
  <c r="X102" i="42"/>
  <c r="N102" i="42"/>
  <c r="L102" i="42"/>
  <c r="B102" i="42"/>
  <c r="X101" i="42"/>
  <c r="Z101" i="42" s="1"/>
  <c r="N101" i="42"/>
  <c r="L101" i="42"/>
  <c r="B101" i="42"/>
  <c r="Z100" i="42"/>
  <c r="X100" i="42"/>
  <c r="N100" i="42"/>
  <c r="L100" i="42"/>
  <c r="B100" i="42"/>
  <c r="Z99" i="42"/>
  <c r="X99" i="42"/>
  <c r="V99" i="42"/>
  <c r="N99" i="42"/>
  <c r="L99" i="42"/>
  <c r="B99" i="42"/>
  <c r="Z98" i="42"/>
  <c r="X98" i="42"/>
  <c r="N98" i="42"/>
  <c r="L98" i="42"/>
  <c r="F98" i="42"/>
  <c r="B98" i="42"/>
  <c r="X97" i="42"/>
  <c r="Z97" i="42" s="1"/>
  <c r="L97" i="42"/>
  <c r="N97" i="42" s="1"/>
  <c r="B97" i="42"/>
  <c r="X96" i="42"/>
  <c r="Z96" i="42" s="1"/>
  <c r="V96" i="42"/>
  <c r="N96" i="42"/>
  <c r="L96" i="42"/>
  <c r="B96" i="42"/>
  <c r="Z95" i="42"/>
  <c r="X95" i="42"/>
  <c r="L95" i="42"/>
  <c r="N95" i="42" s="1"/>
  <c r="B95" i="42"/>
  <c r="X94" i="42"/>
  <c r="Z94" i="42" s="1"/>
  <c r="N94" i="42"/>
  <c r="L94" i="42"/>
  <c r="B94" i="42"/>
  <c r="Z93" i="42"/>
  <c r="X93" i="42"/>
  <c r="N93" i="42"/>
  <c r="L93" i="42"/>
  <c r="B93" i="42"/>
  <c r="X92" i="42"/>
  <c r="Z92" i="42" s="1"/>
  <c r="N92" i="42"/>
  <c r="L92" i="42"/>
  <c r="B92" i="42"/>
  <c r="X91" i="42"/>
  <c r="Z91" i="42" s="1"/>
  <c r="T91" i="42"/>
  <c r="P91" i="42"/>
  <c r="L91" i="42"/>
  <c r="N91" i="42" s="1"/>
  <c r="H91" i="42"/>
  <c r="D91" i="42"/>
  <c r="B91" i="42"/>
  <c r="Z90" i="42"/>
  <c r="X90" i="42"/>
  <c r="L90" i="42"/>
  <c r="N90" i="42" s="1"/>
  <c r="J90" i="42"/>
  <c r="B90" i="42"/>
  <c r="X89" i="42"/>
  <c r="Z89" i="42" s="1"/>
  <c r="N89" i="42"/>
  <c r="L89" i="42"/>
  <c r="B89" i="42"/>
  <c r="T88" i="42"/>
  <c r="P88" i="42"/>
  <c r="X88" i="42" s="1"/>
  <c r="Z88" i="42" s="1"/>
  <c r="H88" i="42"/>
  <c r="D88" i="42"/>
  <c r="L88" i="42" s="1"/>
  <c r="N88" i="42" s="1"/>
  <c r="B88" i="42"/>
  <c r="Z87" i="42"/>
  <c r="X87" i="42"/>
  <c r="N87" i="42"/>
  <c r="L87" i="42"/>
  <c r="B87" i="42"/>
  <c r="X86" i="42"/>
  <c r="Z86" i="42" s="1"/>
  <c r="V86" i="42"/>
  <c r="L86" i="42"/>
  <c r="N86" i="42" s="1"/>
  <c r="B86" i="42"/>
  <c r="Z85" i="42"/>
  <c r="X85" i="42"/>
  <c r="L85" i="42"/>
  <c r="N85" i="42" s="1"/>
  <c r="B85" i="42"/>
  <c r="X84" i="42"/>
  <c r="Z84" i="42" s="1"/>
  <c r="V84" i="42"/>
  <c r="N84" i="42"/>
  <c r="L84" i="42"/>
  <c r="B84" i="42"/>
  <c r="Z83" i="42"/>
  <c r="X83" i="42"/>
  <c r="L83" i="42"/>
  <c r="N83" i="42" s="1"/>
  <c r="B83" i="42"/>
  <c r="X82" i="42"/>
  <c r="V82" i="42"/>
  <c r="T82" i="42"/>
  <c r="Z82" i="42" s="1"/>
  <c r="P82" i="42"/>
  <c r="L82" i="42"/>
  <c r="N82" i="42" s="1"/>
  <c r="H82" i="42"/>
  <c r="D82" i="42"/>
  <c r="B82" i="42"/>
  <c r="Z81" i="42"/>
  <c r="X81" i="42"/>
  <c r="N81" i="42"/>
  <c r="L81" i="42"/>
  <c r="B81" i="42"/>
  <c r="Z80" i="42"/>
  <c r="X80" i="42"/>
  <c r="N80" i="42"/>
  <c r="L80" i="42"/>
  <c r="B80" i="42"/>
  <c r="Z79" i="42"/>
  <c r="X79" i="42"/>
  <c r="T79" i="42"/>
  <c r="P79" i="42"/>
  <c r="N79" i="42"/>
  <c r="L79" i="42"/>
  <c r="H79" i="42"/>
  <c r="D79" i="42"/>
  <c r="B79" i="42"/>
  <c r="Z78" i="42"/>
  <c r="X78" i="42"/>
  <c r="L78" i="42"/>
  <c r="N78" i="42" s="1"/>
  <c r="J78" i="42"/>
  <c r="B78" i="42"/>
  <c r="X77" i="42"/>
  <c r="Z77" i="42" s="1"/>
  <c r="N77" i="42"/>
  <c r="L77" i="42"/>
  <c r="B77" i="42"/>
  <c r="Z76" i="42"/>
  <c r="X76" i="42"/>
  <c r="N76" i="42"/>
  <c r="L76" i="42"/>
  <c r="B76" i="42"/>
  <c r="Z75" i="42"/>
  <c r="X75" i="42"/>
  <c r="N75" i="42"/>
  <c r="L75" i="42"/>
  <c r="B75" i="42"/>
  <c r="T74" i="42"/>
  <c r="P74" i="42"/>
  <c r="X74" i="42" s="1"/>
  <c r="Z74" i="42" s="1"/>
  <c r="H74" i="42"/>
  <c r="D74" i="42"/>
  <c r="L74" i="42" s="1"/>
  <c r="N74" i="42" s="1"/>
  <c r="B74" i="42"/>
  <c r="Z73" i="42"/>
  <c r="X73" i="42"/>
  <c r="L73" i="42"/>
  <c r="N73" i="42" s="1"/>
  <c r="B73" i="42"/>
  <c r="X72" i="42"/>
  <c r="Z72" i="42" s="1"/>
  <c r="V72" i="42"/>
  <c r="T72" i="42"/>
  <c r="P72" i="42"/>
  <c r="L72" i="42"/>
  <c r="J72" i="42"/>
  <c r="H72" i="42"/>
  <c r="N72" i="42" s="1"/>
  <c r="D72" i="42"/>
  <c r="B72" i="42"/>
  <c r="X71" i="42"/>
  <c r="Z71" i="42" s="1"/>
  <c r="N71" i="42"/>
  <c r="L71" i="42"/>
  <c r="B71" i="42"/>
  <c r="T70" i="42"/>
  <c r="P70" i="42"/>
  <c r="H70" i="42"/>
  <c r="D70" i="42"/>
  <c r="B70" i="42"/>
  <c r="X69" i="42"/>
  <c r="Z69" i="42" s="1"/>
  <c r="V69" i="42"/>
  <c r="N69" i="42"/>
  <c r="L69" i="42"/>
  <c r="B69" i="42"/>
  <c r="T68" i="42"/>
  <c r="P68" i="42"/>
  <c r="X68" i="42" s="1"/>
  <c r="Z68" i="42" s="1"/>
  <c r="H68" i="42"/>
  <c r="D68" i="42"/>
  <c r="L68" i="42" s="1"/>
  <c r="N68" i="42" s="1"/>
  <c r="B68" i="42"/>
  <c r="Z67" i="42"/>
  <c r="X67" i="42"/>
  <c r="N67" i="42"/>
  <c r="L67" i="42"/>
  <c r="B67" i="42"/>
  <c r="X66" i="42"/>
  <c r="V66" i="42"/>
  <c r="T66" i="42"/>
  <c r="Z66" i="42" s="1"/>
  <c r="P66" i="42"/>
  <c r="N66" i="42"/>
  <c r="L66" i="42"/>
  <c r="H66" i="42"/>
  <c r="D66" i="42"/>
  <c r="B66" i="42"/>
  <c r="Z65" i="42"/>
  <c r="X65" i="42"/>
  <c r="N65" i="42"/>
  <c r="L65" i="42"/>
  <c r="B65" i="42"/>
  <c r="T64" i="42"/>
  <c r="Z64" i="42" s="1"/>
  <c r="P64" i="42"/>
  <c r="H64" i="42"/>
  <c r="N64" i="42" s="1"/>
  <c r="D64" i="42"/>
  <c r="B64" i="42"/>
  <c r="Z63" i="42"/>
  <c r="X63" i="42"/>
  <c r="V63" i="42"/>
  <c r="N63" i="42"/>
  <c r="L63" i="42"/>
  <c r="B63" i="42"/>
  <c r="T62" i="42"/>
  <c r="P62" i="42"/>
  <c r="X62" i="42" s="1"/>
  <c r="Z62" i="42" s="1"/>
  <c r="H62" i="42"/>
  <c r="D62" i="42"/>
  <c r="L62" i="42" s="1"/>
  <c r="N62" i="42" s="1"/>
  <c r="B62" i="42"/>
  <c r="Z61" i="42"/>
  <c r="X61" i="42"/>
  <c r="N61" i="42"/>
  <c r="L61" i="42"/>
  <c r="B61" i="42"/>
  <c r="X60" i="42"/>
  <c r="Z60" i="42" s="1"/>
  <c r="V60" i="42"/>
  <c r="T60" i="42"/>
  <c r="P60" i="42"/>
  <c r="L60" i="42"/>
  <c r="J60" i="42"/>
  <c r="H60" i="42"/>
  <c r="N60" i="42" s="1"/>
  <c r="D60" i="42"/>
  <c r="B60" i="42"/>
  <c r="X59" i="42"/>
  <c r="Z59" i="42" s="1"/>
  <c r="N59" i="42"/>
  <c r="L59" i="42"/>
  <c r="B59" i="42"/>
  <c r="X58" i="42"/>
  <c r="Z58" i="42" s="1"/>
  <c r="N58" i="42"/>
  <c r="L58" i="42"/>
  <c r="B58" i="42"/>
  <c r="Z57" i="42"/>
  <c r="X57" i="42"/>
  <c r="N57" i="42"/>
  <c r="L57" i="42"/>
  <c r="B57" i="42"/>
  <c r="T56" i="42"/>
  <c r="P56" i="42"/>
  <c r="H56" i="42"/>
  <c r="D56" i="42"/>
  <c r="B56" i="42"/>
  <c r="Z55" i="42"/>
  <c r="X55" i="42"/>
  <c r="V55" i="42"/>
  <c r="N55" i="42"/>
  <c r="L55" i="42"/>
  <c r="B55" i="42"/>
  <c r="T54" i="42"/>
  <c r="P54" i="42"/>
  <c r="X54" i="42" s="1"/>
  <c r="Z54" i="42" s="1"/>
  <c r="H54" i="42"/>
  <c r="D54" i="42"/>
  <c r="L54" i="42" s="1"/>
  <c r="N54" i="42" s="1"/>
  <c r="B54" i="42"/>
  <c r="Z53" i="42"/>
  <c r="X53" i="42"/>
  <c r="V53" i="42"/>
  <c r="L53" i="42"/>
  <c r="N53" i="42" s="1"/>
  <c r="B53" i="42"/>
  <c r="X52" i="42"/>
  <c r="Z52" i="42" s="1"/>
  <c r="V52" i="42"/>
  <c r="T52" i="42"/>
  <c r="P52" i="42"/>
  <c r="L52" i="42"/>
  <c r="J52" i="42"/>
  <c r="H52" i="42"/>
  <c r="N52" i="42" s="1"/>
  <c r="D52" i="42"/>
  <c r="B52" i="42"/>
  <c r="X51" i="42"/>
  <c r="Z51" i="42" s="1"/>
  <c r="N51" i="42"/>
  <c r="L51" i="42"/>
  <c r="B51" i="42"/>
  <c r="T50" i="42"/>
  <c r="P50" i="42"/>
  <c r="H50" i="42"/>
  <c r="D50" i="42"/>
  <c r="B50" i="42"/>
  <c r="Z49" i="42"/>
  <c r="X49" i="42"/>
  <c r="V49" i="42"/>
  <c r="N49" i="42"/>
  <c r="L49" i="42"/>
  <c r="B49" i="42"/>
  <c r="Z48" i="42"/>
  <c r="X48" i="42"/>
  <c r="N48" i="42"/>
  <c r="L48" i="42"/>
  <c r="B48" i="42"/>
  <c r="Z47" i="42"/>
  <c r="X47" i="42"/>
  <c r="V47" i="42"/>
  <c r="N47" i="42"/>
  <c r="L47" i="42"/>
  <c r="B47" i="42"/>
  <c r="Z46" i="42"/>
  <c r="X46" i="42"/>
  <c r="N46" i="42"/>
  <c r="L46" i="42"/>
  <c r="J46" i="42"/>
  <c r="B46" i="42"/>
  <c r="Z45" i="42"/>
  <c r="X45" i="42"/>
  <c r="V45" i="42"/>
  <c r="N45" i="42"/>
  <c r="L45" i="42"/>
  <c r="B45" i="42"/>
  <c r="Z44" i="42"/>
  <c r="X44" i="42"/>
  <c r="L44" i="42"/>
  <c r="N44" i="42" s="1"/>
  <c r="B44" i="42"/>
  <c r="Z43" i="42"/>
  <c r="X43" i="42"/>
  <c r="V43" i="42"/>
  <c r="N43" i="42"/>
  <c r="L43" i="42"/>
  <c r="B43" i="42"/>
  <c r="Z42" i="42"/>
  <c r="X42" i="42"/>
  <c r="N42" i="42"/>
  <c r="L42" i="42"/>
  <c r="J42" i="42"/>
  <c r="B42" i="42"/>
  <c r="X41" i="42"/>
  <c r="Z41" i="42" s="1"/>
  <c r="V41" i="42"/>
  <c r="N41" i="42"/>
  <c r="L41" i="42"/>
  <c r="B41" i="42"/>
  <c r="Z40" i="42"/>
  <c r="X40" i="42"/>
  <c r="L40" i="42"/>
  <c r="N40" i="42" s="1"/>
  <c r="B40" i="42"/>
  <c r="T39" i="42"/>
  <c r="P39" i="42"/>
  <c r="H39" i="42"/>
  <c r="D39" i="42"/>
  <c r="B39" i="42"/>
  <c r="X38" i="42"/>
  <c r="Z38" i="42" s="1"/>
  <c r="V38" i="42"/>
  <c r="L38" i="42"/>
  <c r="N38" i="42" s="1"/>
  <c r="B38" i="42"/>
  <c r="X37" i="42"/>
  <c r="Z37" i="42" s="1"/>
  <c r="V37" i="42"/>
  <c r="L37" i="42"/>
  <c r="N37" i="42" s="1"/>
  <c r="B37" i="42"/>
  <c r="X36" i="42"/>
  <c r="Z36" i="42" s="1"/>
  <c r="V36" i="42"/>
  <c r="L36" i="42"/>
  <c r="N36" i="42" s="1"/>
  <c r="B36" i="42"/>
  <c r="Z35" i="42"/>
  <c r="X35" i="42"/>
  <c r="N35" i="42"/>
  <c r="L35" i="42"/>
  <c r="B35" i="42"/>
  <c r="X34" i="42"/>
  <c r="Z34" i="42" s="1"/>
  <c r="V34" i="42"/>
  <c r="L34" i="42"/>
  <c r="N34" i="42" s="1"/>
  <c r="B34" i="42"/>
  <c r="X33" i="42"/>
  <c r="Z33" i="42" s="1"/>
  <c r="V33" i="42"/>
  <c r="L33" i="42"/>
  <c r="N33" i="42" s="1"/>
  <c r="B33" i="42"/>
  <c r="X32" i="42"/>
  <c r="Z32" i="42" s="1"/>
  <c r="V32" i="42"/>
  <c r="L32" i="42"/>
  <c r="N32" i="42" s="1"/>
  <c r="B32" i="42"/>
  <c r="Z31" i="42"/>
  <c r="X31" i="42"/>
  <c r="L31" i="42"/>
  <c r="N31" i="42" s="1"/>
  <c r="B31" i="42"/>
  <c r="X30" i="42"/>
  <c r="Z30" i="42" s="1"/>
  <c r="V30" i="42"/>
  <c r="L30" i="42"/>
  <c r="N30" i="42" s="1"/>
  <c r="B30" i="42"/>
  <c r="V29" i="42"/>
  <c r="T29" i="42"/>
  <c r="Z29" i="42" s="1"/>
  <c r="P29" i="42"/>
  <c r="X29" i="42" s="1"/>
  <c r="H29" i="42"/>
  <c r="D29" i="42"/>
  <c r="L29" i="42" s="1"/>
  <c r="B29" i="42"/>
  <c r="T28" i="42"/>
  <c r="P28" i="42"/>
  <c r="H28" i="42"/>
  <c r="D28" i="42"/>
  <c r="L28" i="42" s="1"/>
  <c r="T26" i="42"/>
  <c r="T121" i="42" s="1"/>
  <c r="Z24" i="42"/>
  <c r="X24" i="42"/>
  <c r="N24" i="42"/>
  <c r="L24" i="42"/>
  <c r="B24" i="42"/>
  <c r="Z23" i="42"/>
  <c r="X23" i="42"/>
  <c r="V23" i="42"/>
  <c r="N23" i="42"/>
  <c r="L23" i="42"/>
  <c r="B23" i="42"/>
  <c r="X22" i="42"/>
  <c r="Z22" i="42" s="1"/>
  <c r="V22" i="42"/>
  <c r="N22" i="42"/>
  <c r="L22" i="42"/>
  <c r="B22" i="42"/>
  <c r="X21" i="42"/>
  <c r="Z21" i="42" s="1"/>
  <c r="V21" i="42"/>
  <c r="T21" i="42"/>
  <c r="P21" i="42"/>
  <c r="L21" i="42"/>
  <c r="N21" i="42" s="1"/>
  <c r="H21" i="42"/>
  <c r="D21" i="42"/>
  <c r="Z19" i="42"/>
  <c r="X19" i="42"/>
  <c r="P19" i="42"/>
  <c r="N19" i="42"/>
  <c r="D19" i="42"/>
  <c r="L19" i="42" s="1"/>
  <c r="B19" i="42"/>
  <c r="Z18" i="42"/>
  <c r="X18" i="42"/>
  <c r="P18" i="42"/>
  <c r="N18" i="42"/>
  <c r="D18" i="42"/>
  <c r="L18" i="42" s="1"/>
  <c r="B18" i="42"/>
  <c r="P17" i="42"/>
  <c r="X17" i="42" s="1"/>
  <c r="Z17" i="42" s="1"/>
  <c r="D17" i="42"/>
  <c r="L17" i="42" s="1"/>
  <c r="N17" i="42" s="1"/>
  <c r="B17" i="42"/>
  <c r="Z16" i="42"/>
  <c r="X16" i="42"/>
  <c r="P16" i="42"/>
  <c r="N16" i="42"/>
  <c r="L16" i="42"/>
  <c r="D16" i="42"/>
  <c r="D12" i="42" s="1"/>
  <c r="F23" i="42" s="1"/>
  <c r="B16" i="42"/>
  <c r="Z15" i="42"/>
  <c r="P15" i="42"/>
  <c r="X15" i="42" s="1"/>
  <c r="N15" i="42"/>
  <c r="L15" i="42"/>
  <c r="D15" i="42"/>
  <c r="B15" i="42"/>
  <c r="Z14" i="42"/>
  <c r="P14" i="42"/>
  <c r="X14" i="42" s="1"/>
  <c r="N14" i="42"/>
  <c r="D14" i="42"/>
  <c r="L14" i="42" s="1"/>
  <c r="B14" i="42"/>
  <c r="X13" i="42"/>
  <c r="Z13" i="42" s="1"/>
  <c r="P13" i="42"/>
  <c r="L13" i="42"/>
  <c r="N13" i="42" s="1"/>
  <c r="D13" i="42"/>
  <c r="B13" i="42"/>
  <c r="T12" i="42"/>
  <c r="V105" i="42" s="1"/>
  <c r="H12" i="42"/>
  <c r="J100" i="42" s="1"/>
  <c r="D4" i="42"/>
  <c r="X130" i="39"/>
  <c r="Z130" i="39" s="1"/>
  <c r="L130" i="39"/>
  <c r="N130" i="39" s="1"/>
  <c r="Z126" i="39"/>
  <c r="P126" i="39"/>
  <c r="X126" i="39" s="1"/>
  <c r="N126" i="39"/>
  <c r="L126" i="39"/>
  <c r="D126" i="39"/>
  <c r="B126" i="39"/>
  <c r="Z125" i="39"/>
  <c r="X125" i="39"/>
  <c r="P125" i="39"/>
  <c r="L125" i="39"/>
  <c r="N125" i="39" s="1"/>
  <c r="D125" i="39"/>
  <c r="B125" i="39"/>
  <c r="X124" i="39"/>
  <c r="Z124" i="39" s="1"/>
  <c r="P124" i="39"/>
  <c r="P122" i="39" s="1"/>
  <c r="L124" i="39"/>
  <c r="N124" i="39" s="1"/>
  <c r="D124" i="39"/>
  <c r="B124" i="39"/>
  <c r="X123" i="39"/>
  <c r="Z123" i="39" s="1"/>
  <c r="P123" i="39"/>
  <c r="D123" i="39"/>
  <c r="D122" i="39" s="1"/>
  <c r="L122" i="39" s="1"/>
  <c r="B123" i="39"/>
  <c r="T122" i="39"/>
  <c r="H122" i="39"/>
  <c r="X120" i="39"/>
  <c r="Z120" i="39" s="1"/>
  <c r="N120" i="39"/>
  <c r="L120" i="39"/>
  <c r="B120" i="39"/>
  <c r="T119" i="39"/>
  <c r="P119" i="39"/>
  <c r="X119" i="39" s="1"/>
  <c r="Z119" i="39" s="1"/>
  <c r="H119" i="39"/>
  <c r="D119" i="39"/>
  <c r="L119" i="39" s="1"/>
  <c r="N119" i="39" s="1"/>
  <c r="B119" i="39"/>
  <c r="Z118" i="39"/>
  <c r="X118" i="39"/>
  <c r="N118" i="39"/>
  <c r="L118" i="39"/>
  <c r="B118" i="39"/>
  <c r="Z117" i="39"/>
  <c r="X117" i="39"/>
  <c r="N117" i="39"/>
  <c r="L117" i="39"/>
  <c r="B117" i="39"/>
  <c r="Z116" i="39"/>
  <c r="X116" i="39"/>
  <c r="N116" i="39"/>
  <c r="L116" i="39"/>
  <c r="B116" i="39"/>
  <c r="X115" i="39"/>
  <c r="Z115" i="39" s="1"/>
  <c r="T115" i="39"/>
  <c r="P115" i="39"/>
  <c r="L115" i="39"/>
  <c r="H115" i="39"/>
  <c r="N115" i="39" s="1"/>
  <c r="D115" i="39"/>
  <c r="B115" i="39"/>
  <c r="X114" i="39"/>
  <c r="Z114" i="39" s="1"/>
  <c r="N114" i="39"/>
  <c r="L114" i="39"/>
  <c r="B114" i="39"/>
  <c r="T113" i="39"/>
  <c r="P113" i="39"/>
  <c r="X113" i="39" s="1"/>
  <c r="H113" i="39"/>
  <c r="N113" i="39" s="1"/>
  <c r="D113" i="39"/>
  <c r="L113" i="39" s="1"/>
  <c r="B113" i="39"/>
  <c r="X112" i="39"/>
  <c r="Z112" i="39" s="1"/>
  <c r="N112" i="39"/>
  <c r="L112" i="39"/>
  <c r="B112" i="39"/>
  <c r="Z111" i="39"/>
  <c r="X111" i="39"/>
  <c r="L111" i="39"/>
  <c r="N111" i="39" s="1"/>
  <c r="B111" i="39"/>
  <c r="T110" i="39"/>
  <c r="P110" i="39"/>
  <c r="X110" i="39" s="1"/>
  <c r="H110" i="39"/>
  <c r="D110" i="39"/>
  <c r="B110" i="39"/>
  <c r="X109" i="39"/>
  <c r="Z109" i="39" s="1"/>
  <c r="N109" i="39"/>
  <c r="L109" i="39"/>
  <c r="B109" i="39"/>
  <c r="Z108" i="39"/>
  <c r="X108" i="39"/>
  <c r="L108" i="39"/>
  <c r="N108" i="39" s="1"/>
  <c r="B108" i="39"/>
  <c r="Z107" i="39"/>
  <c r="X107" i="39"/>
  <c r="N107" i="39"/>
  <c r="L107" i="39"/>
  <c r="B107" i="39"/>
  <c r="Z106" i="39"/>
  <c r="X106" i="39"/>
  <c r="N106" i="39"/>
  <c r="L106" i="39"/>
  <c r="B106" i="39"/>
  <c r="Z105" i="39"/>
  <c r="X105" i="39"/>
  <c r="N105" i="39"/>
  <c r="L105" i="39"/>
  <c r="B105" i="39"/>
  <c r="Z104" i="39"/>
  <c r="X104" i="39"/>
  <c r="L104" i="39"/>
  <c r="N104" i="39" s="1"/>
  <c r="B104" i="39"/>
  <c r="X103" i="39"/>
  <c r="Z103" i="39" s="1"/>
  <c r="L103" i="39"/>
  <c r="N103" i="39" s="1"/>
  <c r="B103" i="39"/>
  <c r="Z102" i="39"/>
  <c r="X102" i="39"/>
  <c r="L102" i="39"/>
  <c r="N102" i="39" s="1"/>
  <c r="B102" i="39"/>
  <c r="X101" i="39"/>
  <c r="Z101" i="39" s="1"/>
  <c r="L101" i="39"/>
  <c r="N101" i="39" s="1"/>
  <c r="B101" i="39"/>
  <c r="Z100" i="39"/>
  <c r="X100" i="39"/>
  <c r="L100" i="39"/>
  <c r="N100" i="39" s="1"/>
  <c r="B100" i="39"/>
  <c r="X99" i="39"/>
  <c r="Z99" i="39" s="1"/>
  <c r="N99" i="39"/>
  <c r="L99" i="39"/>
  <c r="B99" i="39"/>
  <c r="T98" i="39"/>
  <c r="P98" i="39"/>
  <c r="X98" i="39" s="1"/>
  <c r="Z98" i="39" s="1"/>
  <c r="H98" i="39"/>
  <c r="D98" i="39"/>
  <c r="L98" i="39" s="1"/>
  <c r="N98" i="39" s="1"/>
  <c r="B98" i="39"/>
  <c r="X97" i="39"/>
  <c r="Z97" i="39" s="1"/>
  <c r="N97" i="39"/>
  <c r="L97" i="39"/>
  <c r="B97" i="39"/>
  <c r="X96" i="39"/>
  <c r="Z96" i="39" s="1"/>
  <c r="N96" i="39"/>
  <c r="L96" i="39"/>
  <c r="B96" i="39"/>
  <c r="T95" i="39"/>
  <c r="P95" i="39"/>
  <c r="H95" i="39"/>
  <c r="D95" i="39"/>
  <c r="L95" i="39" s="1"/>
  <c r="B95" i="39"/>
  <c r="Z94" i="39"/>
  <c r="X94" i="39"/>
  <c r="N94" i="39"/>
  <c r="L94" i="39"/>
  <c r="B94" i="39"/>
  <c r="Z93" i="39"/>
  <c r="X93" i="39"/>
  <c r="L93" i="39"/>
  <c r="N93" i="39" s="1"/>
  <c r="B93" i="39"/>
  <c r="X92" i="39"/>
  <c r="Z92" i="39" s="1"/>
  <c r="N92" i="39"/>
  <c r="L92" i="39"/>
  <c r="B92" i="39"/>
  <c r="Z91" i="39"/>
  <c r="X91" i="39"/>
  <c r="N91" i="39"/>
  <c r="L91" i="39"/>
  <c r="B91" i="39"/>
  <c r="Z90" i="39"/>
  <c r="X90" i="39"/>
  <c r="N90" i="39"/>
  <c r="L90" i="39"/>
  <c r="B90" i="39"/>
  <c r="T89" i="39"/>
  <c r="P89" i="39"/>
  <c r="X89" i="39" s="1"/>
  <c r="Z89" i="39" s="1"/>
  <c r="H89" i="39"/>
  <c r="D89" i="39"/>
  <c r="L89" i="39" s="1"/>
  <c r="N89" i="39" s="1"/>
  <c r="B89" i="39"/>
  <c r="Z88" i="39"/>
  <c r="X88" i="39"/>
  <c r="L88" i="39"/>
  <c r="N88" i="39" s="1"/>
  <c r="B88" i="39"/>
  <c r="Z87" i="39"/>
  <c r="X87" i="39"/>
  <c r="N87" i="39"/>
  <c r="L87" i="39"/>
  <c r="B87" i="39"/>
  <c r="T86" i="39"/>
  <c r="P86" i="39"/>
  <c r="X86" i="39" s="1"/>
  <c r="Z86" i="39" s="1"/>
  <c r="H86" i="39"/>
  <c r="D86" i="39"/>
  <c r="L86" i="39" s="1"/>
  <c r="N86" i="39" s="1"/>
  <c r="B86" i="39"/>
  <c r="X85" i="39"/>
  <c r="Z85" i="39" s="1"/>
  <c r="N85" i="39"/>
  <c r="L85" i="39"/>
  <c r="B85" i="39"/>
  <c r="X84" i="39"/>
  <c r="Z84" i="39" s="1"/>
  <c r="N84" i="39"/>
  <c r="L84" i="39"/>
  <c r="B84" i="39"/>
  <c r="X83" i="39"/>
  <c r="Z83" i="39" s="1"/>
  <c r="N83" i="39"/>
  <c r="L83" i="39"/>
  <c r="B83" i="39"/>
  <c r="X82" i="39"/>
  <c r="Z82" i="39" s="1"/>
  <c r="N82" i="39"/>
  <c r="L82" i="39"/>
  <c r="B82" i="39"/>
  <c r="T81" i="39"/>
  <c r="P81" i="39"/>
  <c r="X81" i="39" s="1"/>
  <c r="H81" i="39"/>
  <c r="N81" i="39" s="1"/>
  <c r="D81" i="39"/>
  <c r="L81" i="39" s="1"/>
  <c r="B81" i="39"/>
  <c r="X80" i="39"/>
  <c r="Z80" i="39" s="1"/>
  <c r="N80" i="39"/>
  <c r="L80" i="39"/>
  <c r="B80" i="39"/>
  <c r="T79" i="39"/>
  <c r="P79" i="39"/>
  <c r="X79" i="39" s="1"/>
  <c r="Z79" i="39" s="1"/>
  <c r="N79" i="39"/>
  <c r="H79" i="39"/>
  <c r="D79" i="39"/>
  <c r="L79" i="39" s="1"/>
  <c r="B79" i="39"/>
  <c r="Z78" i="39"/>
  <c r="X78" i="39"/>
  <c r="L78" i="39"/>
  <c r="N78" i="39" s="1"/>
  <c r="B78" i="39"/>
  <c r="X77" i="39"/>
  <c r="T77" i="39"/>
  <c r="Z77" i="39" s="1"/>
  <c r="P77" i="39"/>
  <c r="L77" i="39"/>
  <c r="N77" i="39" s="1"/>
  <c r="J77" i="39"/>
  <c r="H77" i="39"/>
  <c r="D77" i="39"/>
  <c r="B77" i="39"/>
  <c r="X76" i="39"/>
  <c r="Z76" i="39" s="1"/>
  <c r="L76" i="39"/>
  <c r="N76" i="39" s="1"/>
  <c r="B76" i="39"/>
  <c r="T75" i="39"/>
  <c r="P75" i="39"/>
  <c r="H75" i="39"/>
  <c r="N75" i="39" s="1"/>
  <c r="D75" i="39"/>
  <c r="L75" i="39" s="1"/>
  <c r="B75" i="39"/>
  <c r="Z74" i="39"/>
  <c r="X74" i="39"/>
  <c r="N74" i="39"/>
  <c r="L74" i="39"/>
  <c r="B74" i="39"/>
  <c r="Z73" i="39"/>
  <c r="T73" i="39"/>
  <c r="P73" i="39"/>
  <c r="X73" i="39" s="1"/>
  <c r="N73" i="39"/>
  <c r="H73" i="39"/>
  <c r="D73" i="39"/>
  <c r="L73" i="39" s="1"/>
  <c r="B73" i="39"/>
  <c r="Z72" i="39"/>
  <c r="X72" i="39"/>
  <c r="N72" i="39"/>
  <c r="L72" i="39"/>
  <c r="B72" i="39"/>
  <c r="Z71" i="39"/>
  <c r="X71" i="39"/>
  <c r="N71" i="39"/>
  <c r="L71" i="39"/>
  <c r="B71" i="39"/>
  <c r="Z70" i="39"/>
  <c r="T70" i="39"/>
  <c r="P70" i="39"/>
  <c r="X70" i="39" s="1"/>
  <c r="N70" i="39"/>
  <c r="H70" i="39"/>
  <c r="D70" i="39"/>
  <c r="L70" i="39" s="1"/>
  <c r="B70" i="39"/>
  <c r="X69" i="39"/>
  <c r="Z69" i="39" s="1"/>
  <c r="N69" i="39"/>
  <c r="L69" i="39"/>
  <c r="B69" i="39"/>
  <c r="Z68" i="39"/>
  <c r="X68" i="39"/>
  <c r="T68" i="39"/>
  <c r="P68" i="39"/>
  <c r="L68" i="39"/>
  <c r="N68" i="39" s="1"/>
  <c r="H68" i="39"/>
  <c r="D68" i="39"/>
  <c r="B68" i="39"/>
  <c r="Z67" i="39"/>
  <c r="X67" i="39"/>
  <c r="L67" i="39"/>
  <c r="N67" i="39" s="1"/>
  <c r="J67" i="39"/>
  <c r="B67" i="39"/>
  <c r="T66" i="39"/>
  <c r="P66" i="39"/>
  <c r="H66" i="39"/>
  <c r="D66" i="39"/>
  <c r="B66" i="39"/>
  <c r="X65" i="39"/>
  <c r="Z65" i="39" s="1"/>
  <c r="L65" i="39"/>
  <c r="N65" i="39" s="1"/>
  <c r="B65" i="39"/>
  <c r="Z64" i="39"/>
  <c r="X64" i="39"/>
  <c r="L64" i="39"/>
  <c r="N64" i="39" s="1"/>
  <c r="B64" i="39"/>
  <c r="Z63" i="39"/>
  <c r="X63" i="39"/>
  <c r="N63" i="39"/>
  <c r="L63" i="39"/>
  <c r="B63" i="39"/>
  <c r="T62" i="39"/>
  <c r="P62" i="39"/>
  <c r="X62" i="39" s="1"/>
  <c r="Z62" i="39" s="1"/>
  <c r="H62" i="39"/>
  <c r="D62" i="39"/>
  <c r="L62" i="39" s="1"/>
  <c r="N62" i="39" s="1"/>
  <c r="B62" i="39"/>
  <c r="X61" i="39"/>
  <c r="Z61" i="39" s="1"/>
  <c r="N61" i="39"/>
  <c r="L61" i="39"/>
  <c r="B61" i="39"/>
  <c r="X60" i="39"/>
  <c r="Z60" i="39" s="1"/>
  <c r="T60" i="39"/>
  <c r="P60" i="39"/>
  <c r="N60" i="39"/>
  <c r="L60" i="39"/>
  <c r="H60" i="39"/>
  <c r="D60" i="39"/>
  <c r="B60" i="39"/>
  <c r="Z59" i="39"/>
  <c r="X59" i="39"/>
  <c r="L59" i="39"/>
  <c r="N59" i="39" s="1"/>
  <c r="B59" i="39"/>
  <c r="T58" i="39"/>
  <c r="P58" i="39"/>
  <c r="H58" i="39"/>
  <c r="D58" i="39"/>
  <c r="B58" i="39"/>
  <c r="X57" i="39"/>
  <c r="Z57" i="39" s="1"/>
  <c r="V57" i="39"/>
  <c r="L57" i="39"/>
  <c r="N57" i="39" s="1"/>
  <c r="B57" i="39"/>
  <c r="T56" i="39"/>
  <c r="P56" i="39"/>
  <c r="X56" i="39" s="1"/>
  <c r="H56" i="39"/>
  <c r="D56" i="39"/>
  <c r="L56" i="39" s="1"/>
  <c r="N56" i="39" s="1"/>
  <c r="B56" i="39"/>
  <c r="Z55" i="39"/>
  <c r="X55" i="39"/>
  <c r="N55" i="39"/>
  <c r="L55" i="39"/>
  <c r="B55" i="39"/>
  <c r="Z54" i="39"/>
  <c r="X54" i="39"/>
  <c r="N54" i="39"/>
  <c r="L54" i="39"/>
  <c r="B54" i="39"/>
  <c r="X53" i="39"/>
  <c r="Z53" i="39" s="1"/>
  <c r="N53" i="39"/>
  <c r="L53" i="39"/>
  <c r="B53" i="39"/>
  <c r="X52" i="39"/>
  <c r="Z52" i="39" s="1"/>
  <c r="N52" i="39"/>
  <c r="L52" i="39"/>
  <c r="B52" i="39"/>
  <c r="Z51" i="39"/>
  <c r="X51" i="39"/>
  <c r="N51" i="39"/>
  <c r="L51" i="39"/>
  <c r="B51" i="39"/>
  <c r="Z50" i="39"/>
  <c r="X50" i="39"/>
  <c r="N50" i="39"/>
  <c r="L50" i="39"/>
  <c r="B50" i="39"/>
  <c r="X49" i="39"/>
  <c r="Z49" i="39" s="1"/>
  <c r="N49" i="39"/>
  <c r="L49" i="39"/>
  <c r="B49" i="39"/>
  <c r="Z48" i="39"/>
  <c r="X48" i="39"/>
  <c r="N48" i="39"/>
  <c r="L48" i="39"/>
  <c r="B48" i="39"/>
  <c r="X47" i="39"/>
  <c r="Z47" i="39" s="1"/>
  <c r="N47" i="39"/>
  <c r="L47" i="39"/>
  <c r="B47" i="39"/>
  <c r="Z46" i="39"/>
  <c r="X46" i="39"/>
  <c r="N46" i="39"/>
  <c r="L46" i="39"/>
  <c r="B46" i="39"/>
  <c r="T45" i="39"/>
  <c r="P45" i="39"/>
  <c r="X45" i="39" s="1"/>
  <c r="H45" i="39"/>
  <c r="D45" i="39"/>
  <c r="L45" i="39" s="1"/>
  <c r="B45" i="39"/>
  <c r="X44" i="39"/>
  <c r="Z44" i="39" s="1"/>
  <c r="N44" i="39"/>
  <c r="L44" i="39"/>
  <c r="B44" i="39"/>
  <c r="Z43" i="39"/>
  <c r="X43" i="39"/>
  <c r="L43" i="39"/>
  <c r="N43" i="39" s="1"/>
  <c r="B43" i="39"/>
  <c r="Z42" i="39"/>
  <c r="X42" i="39"/>
  <c r="N42" i="39"/>
  <c r="L42" i="39"/>
  <c r="B42" i="39"/>
  <c r="Z41" i="39"/>
  <c r="X41" i="39"/>
  <c r="N41" i="39"/>
  <c r="L41" i="39"/>
  <c r="J41" i="39"/>
  <c r="B41" i="39"/>
  <c r="X40" i="39"/>
  <c r="Z40" i="39" s="1"/>
  <c r="N40" i="39"/>
  <c r="L40" i="39"/>
  <c r="B40" i="39"/>
  <c r="Z39" i="39"/>
  <c r="X39" i="39"/>
  <c r="L39" i="39"/>
  <c r="N39" i="39" s="1"/>
  <c r="B39" i="39"/>
  <c r="Z38" i="39"/>
  <c r="X38" i="39"/>
  <c r="N38" i="39"/>
  <c r="L38" i="39"/>
  <c r="B38" i="39"/>
  <c r="Z37" i="39"/>
  <c r="X37" i="39"/>
  <c r="L37" i="39"/>
  <c r="N37" i="39" s="1"/>
  <c r="B37" i="39"/>
  <c r="X36" i="39"/>
  <c r="Z36" i="39" s="1"/>
  <c r="N36" i="39"/>
  <c r="L36" i="39"/>
  <c r="B36" i="39"/>
  <c r="T35" i="39"/>
  <c r="P35" i="39"/>
  <c r="X35" i="39" s="1"/>
  <c r="Z35" i="39" s="1"/>
  <c r="H35" i="39"/>
  <c r="D35" i="39"/>
  <c r="L35" i="39" s="1"/>
  <c r="N35" i="39" s="1"/>
  <c r="B35" i="39"/>
  <c r="T34" i="39"/>
  <c r="P34" i="39"/>
  <c r="X34" i="39" s="1"/>
  <c r="H34" i="39"/>
  <c r="N34" i="39" s="1"/>
  <c r="D34" i="39"/>
  <c r="L34" i="39" s="1"/>
  <c r="Z30" i="39"/>
  <c r="X30" i="39"/>
  <c r="N30" i="39"/>
  <c r="L30" i="39"/>
  <c r="B30" i="39"/>
  <c r="Z29" i="39"/>
  <c r="X29" i="39"/>
  <c r="N29" i="39"/>
  <c r="L29" i="39"/>
  <c r="B29" i="39"/>
  <c r="Z28" i="39"/>
  <c r="X28" i="39"/>
  <c r="N28" i="39"/>
  <c r="L28" i="39"/>
  <c r="B28" i="39"/>
  <c r="X27" i="39"/>
  <c r="Z27" i="39" s="1"/>
  <c r="V27" i="39"/>
  <c r="T27" i="39"/>
  <c r="P27" i="39"/>
  <c r="L27" i="39"/>
  <c r="N27" i="39" s="1"/>
  <c r="H27" i="39"/>
  <c r="D27" i="39"/>
  <c r="Z25" i="39"/>
  <c r="X25" i="39"/>
  <c r="P25" i="39"/>
  <c r="N25" i="39"/>
  <c r="D25" i="39"/>
  <c r="L25" i="39" s="1"/>
  <c r="B25" i="39"/>
  <c r="Z24" i="39"/>
  <c r="X24" i="39"/>
  <c r="P24" i="39"/>
  <c r="N24" i="39"/>
  <c r="D24" i="39"/>
  <c r="L24" i="39" s="1"/>
  <c r="B24" i="39"/>
  <c r="Z23" i="39"/>
  <c r="X23" i="39"/>
  <c r="P23" i="39"/>
  <c r="N23" i="39"/>
  <c r="L23" i="39"/>
  <c r="D23" i="39"/>
  <c r="B23" i="39"/>
  <c r="Z22" i="39"/>
  <c r="X22" i="39"/>
  <c r="P22" i="39"/>
  <c r="N22" i="39"/>
  <c r="L22" i="39"/>
  <c r="D22" i="39"/>
  <c r="B22" i="39"/>
  <c r="Z21" i="39"/>
  <c r="P21" i="39"/>
  <c r="X21" i="39" s="1"/>
  <c r="N21" i="39"/>
  <c r="L21" i="39"/>
  <c r="D21" i="39"/>
  <c r="B21" i="39"/>
  <c r="Z20" i="39"/>
  <c r="P20" i="39"/>
  <c r="X20" i="39" s="1"/>
  <c r="N20" i="39"/>
  <c r="L20" i="39"/>
  <c r="D20" i="39"/>
  <c r="B20" i="39"/>
  <c r="X19" i="39"/>
  <c r="Z19" i="39" s="1"/>
  <c r="P19" i="39"/>
  <c r="N19" i="39"/>
  <c r="L19" i="39"/>
  <c r="D19" i="39"/>
  <c r="B19" i="39"/>
  <c r="Z18" i="39"/>
  <c r="X18" i="39"/>
  <c r="P18" i="39"/>
  <c r="N18" i="39"/>
  <c r="D18" i="39"/>
  <c r="L18" i="39" s="1"/>
  <c r="B18" i="39"/>
  <c r="Z17" i="39"/>
  <c r="X17" i="39"/>
  <c r="P17" i="39"/>
  <c r="N17" i="39"/>
  <c r="L17" i="39"/>
  <c r="D17" i="39"/>
  <c r="B17" i="39"/>
  <c r="Z16" i="39"/>
  <c r="P16" i="39"/>
  <c r="X16" i="39" s="1"/>
  <c r="N16" i="39"/>
  <c r="D16" i="39"/>
  <c r="L16" i="39" s="1"/>
  <c r="B16" i="39"/>
  <c r="Z15" i="39"/>
  <c r="P15" i="39"/>
  <c r="X15" i="39" s="1"/>
  <c r="N15" i="39"/>
  <c r="L15" i="39"/>
  <c r="D15" i="39"/>
  <c r="B15" i="39"/>
  <c r="Z14" i="39"/>
  <c r="P14" i="39"/>
  <c r="X14" i="39" s="1"/>
  <c r="N14" i="39"/>
  <c r="L14" i="39"/>
  <c r="D14" i="39"/>
  <c r="B14" i="39"/>
  <c r="P13" i="39"/>
  <c r="D13" i="39"/>
  <c r="L13" i="39" s="1"/>
  <c r="N13" i="39" s="1"/>
  <c r="B13" i="39"/>
  <c r="T12" i="39"/>
  <c r="V105" i="39" s="1"/>
  <c r="H12" i="39"/>
  <c r="J58" i="39" s="1"/>
  <c r="D12" i="39"/>
  <c r="D4" i="39"/>
  <c r="Z130" i="36"/>
  <c r="X130" i="36"/>
  <c r="L130" i="36"/>
  <c r="N130" i="36" s="1"/>
  <c r="J130" i="36"/>
  <c r="Z126" i="36"/>
  <c r="P126" i="36"/>
  <c r="X126" i="36" s="1"/>
  <c r="N126" i="36"/>
  <c r="D126" i="36"/>
  <c r="L126" i="36" s="1"/>
  <c r="B126" i="36"/>
  <c r="P125" i="36"/>
  <c r="X125" i="36" s="1"/>
  <c r="Z125" i="36" s="1"/>
  <c r="D125" i="36"/>
  <c r="L125" i="36" s="1"/>
  <c r="N125" i="36" s="1"/>
  <c r="B125" i="36"/>
  <c r="P124" i="36"/>
  <c r="P122" i="36" s="1"/>
  <c r="X122" i="36" s="1"/>
  <c r="Z122" i="36" s="1"/>
  <c r="L124" i="36"/>
  <c r="N124" i="36" s="1"/>
  <c r="D124" i="36"/>
  <c r="B124" i="36"/>
  <c r="X123" i="36"/>
  <c r="Z123" i="36" s="1"/>
  <c r="P123" i="36"/>
  <c r="N123" i="36"/>
  <c r="L123" i="36"/>
  <c r="D123" i="36"/>
  <c r="B123" i="36"/>
  <c r="T122" i="36"/>
  <c r="H122" i="36"/>
  <c r="D122" i="36"/>
  <c r="L122" i="36" s="1"/>
  <c r="N122" i="36" s="1"/>
  <c r="X120" i="36"/>
  <c r="Z120" i="36" s="1"/>
  <c r="V120" i="36"/>
  <c r="L120" i="36"/>
  <c r="N120" i="36" s="1"/>
  <c r="B120" i="36"/>
  <c r="T119" i="36"/>
  <c r="P119" i="36"/>
  <c r="X119" i="36" s="1"/>
  <c r="H119" i="36"/>
  <c r="N119" i="36" s="1"/>
  <c r="D119" i="36"/>
  <c r="L119" i="36" s="1"/>
  <c r="B119" i="36"/>
  <c r="Z118" i="36"/>
  <c r="X118" i="36"/>
  <c r="N118" i="36"/>
  <c r="L118" i="36"/>
  <c r="B118" i="36"/>
  <c r="Z117" i="36"/>
  <c r="X117" i="36"/>
  <c r="N117" i="36"/>
  <c r="L117" i="36"/>
  <c r="B117" i="36"/>
  <c r="X116" i="36"/>
  <c r="Z116" i="36" s="1"/>
  <c r="N116" i="36"/>
  <c r="L116" i="36"/>
  <c r="B116" i="36"/>
  <c r="X115" i="36"/>
  <c r="Z115" i="36" s="1"/>
  <c r="T115" i="36"/>
  <c r="P115" i="36"/>
  <c r="L115" i="36"/>
  <c r="N115" i="36" s="1"/>
  <c r="H115" i="36"/>
  <c r="D115" i="36"/>
  <c r="B115" i="36"/>
  <c r="Z114" i="36"/>
  <c r="X114" i="36"/>
  <c r="N114" i="36"/>
  <c r="L114" i="36"/>
  <c r="B114" i="36"/>
  <c r="T113" i="36"/>
  <c r="P113" i="36"/>
  <c r="H113" i="36"/>
  <c r="D113" i="36"/>
  <c r="B113" i="36"/>
  <c r="X112" i="36"/>
  <c r="Z112" i="36" s="1"/>
  <c r="L112" i="36"/>
  <c r="N112" i="36" s="1"/>
  <c r="B112" i="36"/>
  <c r="X111" i="36"/>
  <c r="Z111" i="36" s="1"/>
  <c r="L111" i="36"/>
  <c r="N111" i="36" s="1"/>
  <c r="B111" i="36"/>
  <c r="T110" i="36"/>
  <c r="P110" i="36"/>
  <c r="X110" i="36" s="1"/>
  <c r="Z110" i="36" s="1"/>
  <c r="L110" i="36"/>
  <c r="N110" i="36" s="1"/>
  <c r="J110" i="36"/>
  <c r="H110" i="36"/>
  <c r="D110" i="36"/>
  <c r="B110" i="36"/>
  <c r="X109" i="36"/>
  <c r="Z109" i="36" s="1"/>
  <c r="N109" i="36"/>
  <c r="L109" i="36"/>
  <c r="B109" i="36"/>
  <c r="X108" i="36"/>
  <c r="Z108" i="36" s="1"/>
  <c r="N108" i="36"/>
  <c r="L108" i="36"/>
  <c r="B108" i="36"/>
  <c r="Z107" i="36"/>
  <c r="X107" i="36"/>
  <c r="N107" i="36"/>
  <c r="L107" i="36"/>
  <c r="B107" i="36"/>
  <c r="X106" i="36"/>
  <c r="Z106" i="36" s="1"/>
  <c r="N106" i="36"/>
  <c r="L106" i="36"/>
  <c r="B106" i="36"/>
  <c r="X105" i="36"/>
  <c r="Z105" i="36" s="1"/>
  <c r="N105" i="36"/>
  <c r="L105" i="36"/>
  <c r="B105" i="36"/>
  <c r="X104" i="36"/>
  <c r="Z104" i="36" s="1"/>
  <c r="N104" i="36"/>
  <c r="L104" i="36"/>
  <c r="B104" i="36"/>
  <c r="X103" i="36"/>
  <c r="Z103" i="36" s="1"/>
  <c r="L103" i="36"/>
  <c r="N103" i="36" s="1"/>
  <c r="B103" i="36"/>
  <c r="X102" i="36"/>
  <c r="Z102" i="36" s="1"/>
  <c r="N102" i="36"/>
  <c r="L102" i="36"/>
  <c r="B102" i="36"/>
  <c r="X101" i="36"/>
  <c r="Z101" i="36" s="1"/>
  <c r="N101" i="36"/>
  <c r="L101" i="36"/>
  <c r="B101" i="36"/>
  <c r="X100" i="36"/>
  <c r="Z100" i="36" s="1"/>
  <c r="N100" i="36"/>
  <c r="L100" i="36"/>
  <c r="B100" i="36"/>
  <c r="X99" i="36"/>
  <c r="Z99" i="36" s="1"/>
  <c r="L99" i="36"/>
  <c r="N99" i="36" s="1"/>
  <c r="B99" i="36"/>
  <c r="X98" i="36"/>
  <c r="T98" i="36"/>
  <c r="Z98" i="36" s="1"/>
  <c r="P98" i="36"/>
  <c r="H98" i="36"/>
  <c r="D98" i="36"/>
  <c r="B98" i="36"/>
  <c r="Z97" i="36"/>
  <c r="X97" i="36"/>
  <c r="L97" i="36"/>
  <c r="N97" i="36" s="1"/>
  <c r="B97" i="36"/>
  <c r="Z96" i="36"/>
  <c r="X96" i="36"/>
  <c r="N96" i="36"/>
  <c r="L96" i="36"/>
  <c r="J96" i="36"/>
  <c r="B96" i="36"/>
  <c r="T95" i="36"/>
  <c r="P95" i="36"/>
  <c r="H95" i="36"/>
  <c r="D95" i="36"/>
  <c r="B95" i="36"/>
  <c r="Z94" i="36"/>
  <c r="X94" i="36"/>
  <c r="L94" i="36"/>
  <c r="N94" i="36" s="1"/>
  <c r="B94" i="36"/>
  <c r="X93" i="36"/>
  <c r="Z93" i="36" s="1"/>
  <c r="L93" i="36"/>
  <c r="N93" i="36" s="1"/>
  <c r="B93" i="36"/>
  <c r="X92" i="36"/>
  <c r="Z92" i="36" s="1"/>
  <c r="L92" i="36"/>
  <c r="N92" i="36" s="1"/>
  <c r="B92" i="36"/>
  <c r="Z91" i="36"/>
  <c r="X91" i="36"/>
  <c r="N91" i="36"/>
  <c r="L91" i="36"/>
  <c r="B91" i="36"/>
  <c r="Z90" i="36"/>
  <c r="X90" i="36"/>
  <c r="L90" i="36"/>
  <c r="N90" i="36" s="1"/>
  <c r="B90" i="36"/>
  <c r="T89" i="36"/>
  <c r="P89" i="36"/>
  <c r="X89" i="36" s="1"/>
  <c r="H89" i="36"/>
  <c r="D89" i="36"/>
  <c r="L89" i="36" s="1"/>
  <c r="B89" i="36"/>
  <c r="Z88" i="36"/>
  <c r="X88" i="36"/>
  <c r="N88" i="36"/>
  <c r="L88" i="36"/>
  <c r="B88" i="36"/>
  <c r="Z87" i="36"/>
  <c r="X87" i="36"/>
  <c r="N87" i="36"/>
  <c r="L87" i="36"/>
  <c r="B87" i="36"/>
  <c r="X86" i="36"/>
  <c r="T86" i="36"/>
  <c r="Z86" i="36" s="1"/>
  <c r="P86" i="36"/>
  <c r="H86" i="36"/>
  <c r="N86" i="36" s="1"/>
  <c r="D86" i="36"/>
  <c r="B86" i="36"/>
  <c r="Z85" i="36"/>
  <c r="X85" i="36"/>
  <c r="L85" i="36"/>
  <c r="N85" i="36" s="1"/>
  <c r="B85" i="36"/>
  <c r="Z84" i="36"/>
  <c r="X84" i="36"/>
  <c r="N84" i="36"/>
  <c r="L84" i="36"/>
  <c r="J84" i="36"/>
  <c r="B84" i="36"/>
  <c r="X83" i="36"/>
  <c r="Z83" i="36" s="1"/>
  <c r="N83" i="36"/>
  <c r="L83" i="36"/>
  <c r="B83" i="36"/>
  <c r="Z82" i="36"/>
  <c r="X82" i="36"/>
  <c r="N82" i="36"/>
  <c r="L82" i="36"/>
  <c r="J82" i="36"/>
  <c r="B82" i="36"/>
  <c r="T81" i="36"/>
  <c r="P81" i="36"/>
  <c r="H81" i="36"/>
  <c r="D81" i="36"/>
  <c r="B81" i="36"/>
  <c r="Z80" i="36"/>
  <c r="X80" i="36"/>
  <c r="L80" i="36"/>
  <c r="N80" i="36" s="1"/>
  <c r="B80" i="36"/>
  <c r="T79" i="36"/>
  <c r="Z79" i="36" s="1"/>
  <c r="P79" i="36"/>
  <c r="X79" i="36" s="1"/>
  <c r="H79" i="36"/>
  <c r="D79" i="36"/>
  <c r="L79" i="36" s="1"/>
  <c r="B79" i="36"/>
  <c r="X78" i="36"/>
  <c r="Z78" i="36" s="1"/>
  <c r="N78" i="36"/>
  <c r="L78" i="36"/>
  <c r="B78" i="36"/>
  <c r="X77" i="36"/>
  <c r="Z77" i="36" s="1"/>
  <c r="T77" i="36"/>
  <c r="P77" i="36"/>
  <c r="L77" i="36"/>
  <c r="N77" i="36" s="1"/>
  <c r="H77" i="36"/>
  <c r="D77" i="36"/>
  <c r="B77" i="36"/>
  <c r="Z76" i="36"/>
  <c r="X76" i="36"/>
  <c r="N76" i="36"/>
  <c r="L76" i="36"/>
  <c r="J76" i="36"/>
  <c r="B76" i="36"/>
  <c r="T75" i="36"/>
  <c r="P75" i="36"/>
  <c r="H75" i="36"/>
  <c r="D75" i="36"/>
  <c r="B75" i="36"/>
  <c r="Z74" i="36"/>
  <c r="X74" i="36"/>
  <c r="L74" i="36"/>
  <c r="N74" i="36" s="1"/>
  <c r="B74" i="36"/>
  <c r="T73" i="36"/>
  <c r="P73" i="36"/>
  <c r="X73" i="36" s="1"/>
  <c r="H73" i="36"/>
  <c r="D73" i="36"/>
  <c r="L73" i="36" s="1"/>
  <c r="B73" i="36"/>
  <c r="X72" i="36"/>
  <c r="Z72" i="36" s="1"/>
  <c r="N72" i="36"/>
  <c r="L72" i="36"/>
  <c r="B72" i="36"/>
  <c r="X71" i="36"/>
  <c r="Z71" i="36" s="1"/>
  <c r="T71" i="36"/>
  <c r="P71" i="36"/>
  <c r="L71" i="36"/>
  <c r="N71" i="36" s="1"/>
  <c r="H71" i="36"/>
  <c r="D71" i="36"/>
  <c r="B71" i="36"/>
  <c r="Z70" i="36"/>
  <c r="X70" i="36"/>
  <c r="N70" i="36"/>
  <c r="L70" i="36"/>
  <c r="J70" i="36"/>
  <c r="B70" i="36"/>
  <c r="T69" i="36"/>
  <c r="P69" i="36"/>
  <c r="H69" i="36"/>
  <c r="N69" i="36" s="1"/>
  <c r="D69" i="36"/>
  <c r="B69" i="36"/>
  <c r="Z68" i="36"/>
  <c r="X68" i="36"/>
  <c r="L68" i="36"/>
  <c r="N68" i="36" s="1"/>
  <c r="B68" i="36"/>
  <c r="T67" i="36"/>
  <c r="P67" i="36"/>
  <c r="X67" i="36" s="1"/>
  <c r="H67" i="36"/>
  <c r="D67" i="36"/>
  <c r="L67" i="36" s="1"/>
  <c r="B67" i="36"/>
  <c r="X66" i="36"/>
  <c r="Z66" i="36" s="1"/>
  <c r="N66" i="36"/>
  <c r="L66" i="36"/>
  <c r="B66" i="36"/>
  <c r="X65" i="36"/>
  <c r="Z65" i="36" s="1"/>
  <c r="T65" i="36"/>
  <c r="P65" i="36"/>
  <c r="L65" i="36"/>
  <c r="N65" i="36" s="1"/>
  <c r="H65" i="36"/>
  <c r="D65" i="36"/>
  <c r="B65" i="36"/>
  <c r="Z64" i="36"/>
  <c r="X64" i="36"/>
  <c r="N64" i="36"/>
  <c r="L64" i="36"/>
  <c r="J64" i="36"/>
  <c r="B64" i="36"/>
  <c r="T63" i="36"/>
  <c r="P63" i="36"/>
  <c r="H63" i="36"/>
  <c r="D63" i="36"/>
  <c r="B63" i="36"/>
  <c r="Z62" i="36"/>
  <c r="X62" i="36"/>
  <c r="V62" i="36"/>
  <c r="L62" i="36"/>
  <c r="N62" i="36" s="1"/>
  <c r="B62" i="36"/>
  <c r="X61" i="36"/>
  <c r="Z61" i="36" s="1"/>
  <c r="L61" i="36"/>
  <c r="N61" i="36" s="1"/>
  <c r="B61" i="36"/>
  <c r="Z60" i="36"/>
  <c r="X60" i="36"/>
  <c r="V60" i="36"/>
  <c r="N60" i="36"/>
  <c r="L60" i="36"/>
  <c r="B60" i="36"/>
  <c r="T59" i="36"/>
  <c r="Z59" i="36" s="1"/>
  <c r="P59" i="36"/>
  <c r="X59" i="36" s="1"/>
  <c r="H59" i="36"/>
  <c r="D59" i="36"/>
  <c r="L59" i="36" s="1"/>
  <c r="B59" i="36"/>
  <c r="X58" i="36"/>
  <c r="Z58" i="36" s="1"/>
  <c r="N58" i="36"/>
  <c r="L58" i="36"/>
  <c r="B58" i="36"/>
  <c r="X57" i="36"/>
  <c r="Z57" i="36" s="1"/>
  <c r="T57" i="36"/>
  <c r="P57" i="36"/>
  <c r="L57" i="36"/>
  <c r="N57" i="36" s="1"/>
  <c r="H57" i="36"/>
  <c r="D57" i="36"/>
  <c r="B57" i="36"/>
  <c r="Z56" i="36"/>
  <c r="X56" i="36"/>
  <c r="N56" i="36"/>
  <c r="L56" i="36"/>
  <c r="J56" i="36"/>
  <c r="B56" i="36"/>
  <c r="T55" i="36"/>
  <c r="P55" i="36"/>
  <c r="H55" i="36"/>
  <c r="D55" i="36"/>
  <c r="B55" i="36"/>
  <c r="Z54" i="36"/>
  <c r="X54" i="36"/>
  <c r="L54" i="36"/>
  <c r="N54" i="36" s="1"/>
  <c r="B54" i="36"/>
  <c r="T53" i="36"/>
  <c r="Z53" i="36" s="1"/>
  <c r="P53" i="36"/>
  <c r="X53" i="36" s="1"/>
  <c r="H53" i="36"/>
  <c r="N53" i="36" s="1"/>
  <c r="D53" i="36"/>
  <c r="L53" i="36" s="1"/>
  <c r="B53" i="36"/>
  <c r="Z52" i="36"/>
  <c r="X52" i="36"/>
  <c r="N52" i="36"/>
  <c r="L52" i="36"/>
  <c r="B52" i="36"/>
  <c r="Z51" i="36"/>
  <c r="X51" i="36"/>
  <c r="N51" i="36"/>
  <c r="L51" i="36"/>
  <c r="B51" i="36"/>
  <c r="X50" i="36"/>
  <c r="Z50" i="36" s="1"/>
  <c r="N50" i="36"/>
  <c r="L50" i="36"/>
  <c r="B50" i="36"/>
  <c r="X49" i="36"/>
  <c r="Z49" i="36" s="1"/>
  <c r="N49" i="36"/>
  <c r="L49" i="36"/>
  <c r="B49" i="36"/>
  <c r="Z48" i="36"/>
  <c r="X48" i="36"/>
  <c r="N48" i="36"/>
  <c r="L48" i="36"/>
  <c r="B48" i="36"/>
  <c r="X47" i="36"/>
  <c r="Z47" i="36" s="1"/>
  <c r="L47" i="36"/>
  <c r="N47" i="36" s="1"/>
  <c r="B47" i="36"/>
  <c r="X46" i="36"/>
  <c r="Z46" i="36" s="1"/>
  <c r="N46" i="36"/>
  <c r="L46" i="36"/>
  <c r="B46" i="36"/>
  <c r="Z45" i="36"/>
  <c r="X45" i="36"/>
  <c r="N45" i="36"/>
  <c r="L45" i="36"/>
  <c r="B45" i="36"/>
  <c r="X44" i="36"/>
  <c r="Z44" i="36" s="1"/>
  <c r="N44" i="36"/>
  <c r="L44" i="36"/>
  <c r="B44" i="36"/>
  <c r="X43" i="36"/>
  <c r="Z43" i="36" s="1"/>
  <c r="L43" i="36"/>
  <c r="N43" i="36" s="1"/>
  <c r="B43" i="36"/>
  <c r="T42" i="36"/>
  <c r="Z42" i="36" s="1"/>
  <c r="P42" i="36"/>
  <c r="X42" i="36" s="1"/>
  <c r="H42" i="36"/>
  <c r="N42" i="36" s="1"/>
  <c r="D42" i="36"/>
  <c r="L42" i="36" s="1"/>
  <c r="B42" i="36"/>
  <c r="Z41" i="36"/>
  <c r="X41" i="36"/>
  <c r="N41" i="36"/>
  <c r="L41" i="36"/>
  <c r="B41" i="36"/>
  <c r="Z40" i="36"/>
  <c r="X40" i="36"/>
  <c r="N40" i="36"/>
  <c r="L40" i="36"/>
  <c r="J40" i="36"/>
  <c r="B40" i="36"/>
  <c r="X39" i="36"/>
  <c r="Z39" i="36" s="1"/>
  <c r="N39" i="36"/>
  <c r="L39" i="36"/>
  <c r="B39" i="36"/>
  <c r="Z38" i="36"/>
  <c r="X38" i="36"/>
  <c r="N38" i="36"/>
  <c r="L38" i="36"/>
  <c r="J38" i="36"/>
  <c r="B38" i="36"/>
  <c r="Z37" i="36"/>
  <c r="X37" i="36"/>
  <c r="N37" i="36"/>
  <c r="L37" i="36"/>
  <c r="B37" i="36"/>
  <c r="Z36" i="36"/>
  <c r="X36" i="36"/>
  <c r="N36" i="36"/>
  <c r="L36" i="36"/>
  <c r="J36" i="36"/>
  <c r="B36" i="36"/>
  <c r="X35" i="36"/>
  <c r="Z35" i="36" s="1"/>
  <c r="N35" i="36"/>
  <c r="L35" i="36"/>
  <c r="B35" i="36"/>
  <c r="Z34" i="36"/>
  <c r="X34" i="36"/>
  <c r="N34" i="36"/>
  <c r="L34" i="36"/>
  <c r="J34" i="36"/>
  <c r="B34" i="36"/>
  <c r="Z33" i="36"/>
  <c r="X33" i="36"/>
  <c r="N33" i="36"/>
  <c r="L33" i="36"/>
  <c r="B33" i="36"/>
  <c r="Z32" i="36"/>
  <c r="X32" i="36"/>
  <c r="N32" i="36"/>
  <c r="L32" i="36"/>
  <c r="J32" i="36"/>
  <c r="B32" i="36"/>
  <c r="T31" i="36"/>
  <c r="P31" i="36"/>
  <c r="H31" i="36"/>
  <c r="D31" i="36"/>
  <c r="B31" i="36"/>
  <c r="V30" i="36"/>
  <c r="T30" i="36"/>
  <c r="P30" i="36"/>
  <c r="X30" i="36" s="1"/>
  <c r="Z30" i="36" s="1"/>
  <c r="J30" i="36"/>
  <c r="H30" i="36"/>
  <c r="D30" i="36"/>
  <c r="L30" i="36" s="1"/>
  <c r="J28" i="36"/>
  <c r="H28" i="36"/>
  <c r="Z26" i="36"/>
  <c r="X26" i="36"/>
  <c r="N26" i="36"/>
  <c r="L26" i="36"/>
  <c r="B26" i="36"/>
  <c r="Z25" i="36"/>
  <c r="X25" i="36"/>
  <c r="N25" i="36"/>
  <c r="L25" i="36"/>
  <c r="B25" i="36"/>
  <c r="Z24" i="36"/>
  <c r="X24" i="36"/>
  <c r="V24" i="36"/>
  <c r="L24" i="36"/>
  <c r="N24" i="36" s="1"/>
  <c r="B24" i="36"/>
  <c r="T23" i="36"/>
  <c r="P23" i="36"/>
  <c r="X23" i="36" s="1"/>
  <c r="Z23" i="36" s="1"/>
  <c r="H23" i="36"/>
  <c r="D23" i="36"/>
  <c r="L23" i="36" s="1"/>
  <c r="N23" i="36" s="1"/>
  <c r="Z21" i="36"/>
  <c r="P21" i="36"/>
  <c r="X21" i="36" s="1"/>
  <c r="N21" i="36"/>
  <c r="D21" i="36"/>
  <c r="L21" i="36" s="1"/>
  <c r="B21" i="36"/>
  <c r="Z20" i="36"/>
  <c r="P20" i="36"/>
  <c r="X20" i="36" s="1"/>
  <c r="N20" i="36"/>
  <c r="L20" i="36"/>
  <c r="D20" i="36"/>
  <c r="B20" i="36"/>
  <c r="Z19" i="36"/>
  <c r="X19" i="36"/>
  <c r="P19" i="36"/>
  <c r="N19" i="36"/>
  <c r="L19" i="36"/>
  <c r="D19" i="36"/>
  <c r="B19" i="36"/>
  <c r="P18" i="36"/>
  <c r="X18" i="36" s="1"/>
  <c r="Z18" i="36" s="1"/>
  <c r="D18" i="36"/>
  <c r="L18" i="36" s="1"/>
  <c r="N18" i="36" s="1"/>
  <c r="B18" i="36"/>
  <c r="Z17" i="36"/>
  <c r="P17" i="36"/>
  <c r="X17" i="36" s="1"/>
  <c r="N17" i="36"/>
  <c r="D17" i="36"/>
  <c r="L17" i="36" s="1"/>
  <c r="B17" i="36"/>
  <c r="Z16" i="36"/>
  <c r="X16" i="36"/>
  <c r="P16" i="36"/>
  <c r="N16" i="36"/>
  <c r="L16" i="36"/>
  <c r="D16" i="36"/>
  <c r="B16" i="36"/>
  <c r="Z15" i="36"/>
  <c r="P15" i="36"/>
  <c r="X15" i="36" s="1"/>
  <c r="N15" i="36"/>
  <c r="D15" i="36"/>
  <c r="L15" i="36" s="1"/>
  <c r="B15" i="36"/>
  <c r="Z14" i="36"/>
  <c r="X14" i="36"/>
  <c r="P14" i="36"/>
  <c r="N14" i="36"/>
  <c r="L14" i="36"/>
  <c r="D14" i="36"/>
  <c r="B14" i="36"/>
  <c r="X13" i="36"/>
  <c r="Z13" i="36" s="1"/>
  <c r="P13" i="36"/>
  <c r="N13" i="36"/>
  <c r="L13" i="36"/>
  <c r="D13" i="36"/>
  <c r="B13" i="36"/>
  <c r="T12" i="36"/>
  <c r="V92" i="36" s="1"/>
  <c r="P12" i="36"/>
  <c r="R39" i="36" s="1"/>
  <c r="H12" i="36"/>
  <c r="D4" i="36"/>
  <c r="Z88" i="33"/>
  <c r="X88" i="33"/>
  <c r="N88" i="33"/>
  <c r="L88" i="33"/>
  <c r="Z84" i="33"/>
  <c r="P84" i="33"/>
  <c r="N84" i="33"/>
  <c r="L84" i="33"/>
  <c r="D84" i="33"/>
  <c r="B84" i="33"/>
  <c r="Z83" i="33"/>
  <c r="X83" i="33"/>
  <c r="P83" i="33"/>
  <c r="D83" i="33"/>
  <c r="B83" i="33"/>
  <c r="T82" i="33"/>
  <c r="H82" i="33"/>
  <c r="Z80" i="33"/>
  <c r="X80" i="33"/>
  <c r="N80" i="33"/>
  <c r="L80" i="33"/>
  <c r="J80" i="33"/>
  <c r="B80" i="33"/>
  <c r="Z79" i="33"/>
  <c r="X79" i="33"/>
  <c r="T79" i="33"/>
  <c r="P79" i="33"/>
  <c r="H79" i="33"/>
  <c r="L79" i="33" s="1"/>
  <c r="D79" i="33"/>
  <c r="B79" i="33"/>
  <c r="Z78" i="33"/>
  <c r="X78" i="33"/>
  <c r="L78" i="33"/>
  <c r="N78" i="33" s="1"/>
  <c r="B78" i="33"/>
  <c r="T77" i="33"/>
  <c r="P77" i="33"/>
  <c r="X77" i="33" s="1"/>
  <c r="H77" i="33"/>
  <c r="D77" i="33"/>
  <c r="L77" i="33" s="1"/>
  <c r="N77" i="33" s="1"/>
  <c r="B77" i="33"/>
  <c r="X76" i="33"/>
  <c r="Z76" i="33" s="1"/>
  <c r="L76" i="33"/>
  <c r="N76" i="33" s="1"/>
  <c r="B76" i="33"/>
  <c r="X75" i="33"/>
  <c r="Z75" i="33" s="1"/>
  <c r="L75" i="33"/>
  <c r="N75" i="33" s="1"/>
  <c r="B75" i="33"/>
  <c r="X74" i="33"/>
  <c r="Z74" i="33" s="1"/>
  <c r="N74" i="33"/>
  <c r="L74" i="33"/>
  <c r="B74" i="33"/>
  <c r="Z73" i="33"/>
  <c r="X73" i="33"/>
  <c r="N73" i="33"/>
  <c r="L73" i="33"/>
  <c r="B73" i="33"/>
  <c r="Z72" i="33"/>
  <c r="X72" i="33"/>
  <c r="N72" i="33"/>
  <c r="L72" i="33"/>
  <c r="B72" i="33"/>
  <c r="X71" i="33"/>
  <c r="T71" i="33"/>
  <c r="P71" i="33"/>
  <c r="J71" i="33"/>
  <c r="H71" i="33"/>
  <c r="D71" i="33"/>
  <c r="L71" i="33" s="1"/>
  <c r="B71" i="33"/>
  <c r="Z70" i="33"/>
  <c r="X70" i="33"/>
  <c r="N70" i="33"/>
  <c r="L70" i="33"/>
  <c r="B70" i="33"/>
  <c r="T69" i="33"/>
  <c r="X69" i="33" s="1"/>
  <c r="Z69" i="33" s="1"/>
  <c r="P69" i="33"/>
  <c r="N69" i="33"/>
  <c r="L69" i="33"/>
  <c r="H69" i="33"/>
  <c r="D69" i="33"/>
  <c r="B69" i="33"/>
  <c r="Z68" i="33"/>
  <c r="X68" i="33"/>
  <c r="V68" i="33"/>
  <c r="N68" i="33"/>
  <c r="L68" i="33"/>
  <c r="J68" i="33"/>
  <c r="B68" i="33"/>
  <c r="Z67" i="33"/>
  <c r="X67" i="33"/>
  <c r="L67" i="33"/>
  <c r="N67" i="33" s="1"/>
  <c r="B67" i="33"/>
  <c r="Z66" i="33"/>
  <c r="X66" i="33"/>
  <c r="N66" i="33"/>
  <c r="L66" i="33"/>
  <c r="J66" i="33"/>
  <c r="B66" i="33"/>
  <c r="T65" i="33"/>
  <c r="P65" i="33"/>
  <c r="X65" i="33" s="1"/>
  <c r="J65" i="33"/>
  <c r="H65" i="33"/>
  <c r="D65" i="33"/>
  <c r="L65" i="33" s="1"/>
  <c r="N65" i="33" s="1"/>
  <c r="B65" i="33"/>
  <c r="X64" i="33"/>
  <c r="Z64" i="33" s="1"/>
  <c r="L64" i="33"/>
  <c r="N64" i="33" s="1"/>
  <c r="B64" i="33"/>
  <c r="X63" i="33"/>
  <c r="Z63" i="33" s="1"/>
  <c r="N63" i="33"/>
  <c r="L63" i="33"/>
  <c r="B63" i="33"/>
  <c r="X62" i="33"/>
  <c r="Z62" i="33" s="1"/>
  <c r="V62" i="33"/>
  <c r="T62" i="33"/>
  <c r="P62" i="33"/>
  <c r="L62" i="33"/>
  <c r="N62" i="33" s="1"/>
  <c r="H62" i="33"/>
  <c r="D62" i="33"/>
  <c r="B62" i="33"/>
  <c r="X61" i="33"/>
  <c r="Z61" i="33" s="1"/>
  <c r="N61" i="33"/>
  <c r="L61" i="33"/>
  <c r="J61" i="33"/>
  <c r="B61" i="33"/>
  <c r="X60" i="33"/>
  <c r="T60" i="33"/>
  <c r="P60" i="33"/>
  <c r="H60" i="33"/>
  <c r="D60" i="33"/>
  <c r="B60" i="33"/>
  <c r="Z59" i="33"/>
  <c r="X59" i="33"/>
  <c r="L59" i="33"/>
  <c r="N59" i="33" s="1"/>
  <c r="B59" i="33"/>
  <c r="T58" i="33"/>
  <c r="P58" i="33"/>
  <c r="X58" i="33" s="1"/>
  <c r="Z58" i="33" s="1"/>
  <c r="J58" i="33"/>
  <c r="H58" i="33"/>
  <c r="D58" i="33"/>
  <c r="L58" i="33" s="1"/>
  <c r="N58" i="33" s="1"/>
  <c r="B58" i="33"/>
  <c r="X57" i="33"/>
  <c r="Z57" i="33" s="1"/>
  <c r="L57" i="33"/>
  <c r="N57" i="33" s="1"/>
  <c r="B57" i="33"/>
  <c r="X56" i="33"/>
  <c r="Z56" i="33" s="1"/>
  <c r="T56" i="33"/>
  <c r="P56" i="33"/>
  <c r="L56" i="33"/>
  <c r="N56" i="33" s="1"/>
  <c r="J56" i="33"/>
  <c r="H56" i="33"/>
  <c r="D56" i="33"/>
  <c r="B56" i="33"/>
  <c r="X55" i="33"/>
  <c r="Z55" i="33" s="1"/>
  <c r="N55" i="33"/>
  <c r="L55" i="33"/>
  <c r="J55" i="33"/>
  <c r="B55" i="33"/>
  <c r="T54" i="33"/>
  <c r="P54" i="33"/>
  <c r="N54" i="33"/>
  <c r="H54" i="33"/>
  <c r="L54" i="33" s="1"/>
  <c r="D54" i="33"/>
  <c r="B54" i="33"/>
  <c r="Z53" i="33"/>
  <c r="X53" i="33"/>
  <c r="N53" i="33"/>
  <c r="L53" i="33"/>
  <c r="J53" i="33"/>
  <c r="B53" i="33"/>
  <c r="Z52" i="33"/>
  <c r="X52" i="33"/>
  <c r="N52" i="33"/>
  <c r="L52" i="33"/>
  <c r="B52" i="33"/>
  <c r="Z51" i="33"/>
  <c r="X51" i="33"/>
  <c r="V51" i="33"/>
  <c r="N51" i="33"/>
  <c r="L51" i="33"/>
  <c r="J51" i="33"/>
  <c r="B51" i="33"/>
  <c r="Z50" i="33"/>
  <c r="X50" i="33"/>
  <c r="N50" i="33"/>
  <c r="L50" i="33"/>
  <c r="J50" i="33"/>
  <c r="B50" i="33"/>
  <c r="Z49" i="33"/>
  <c r="X49" i="33"/>
  <c r="N49" i="33"/>
  <c r="L49" i="33"/>
  <c r="B49" i="33"/>
  <c r="Z48" i="33"/>
  <c r="X48" i="33"/>
  <c r="V48" i="33"/>
  <c r="N48" i="33"/>
  <c r="L48" i="33"/>
  <c r="J48" i="33"/>
  <c r="B48" i="33"/>
  <c r="Z47" i="33"/>
  <c r="X47" i="33"/>
  <c r="N47" i="33"/>
  <c r="L47" i="33"/>
  <c r="J47" i="33"/>
  <c r="B47" i="33"/>
  <c r="Z46" i="33"/>
  <c r="X46" i="33"/>
  <c r="N46" i="33"/>
  <c r="L46" i="33"/>
  <c r="B46" i="33"/>
  <c r="Z45" i="33"/>
  <c r="X45" i="33"/>
  <c r="V45" i="33"/>
  <c r="L45" i="33"/>
  <c r="N45" i="33" s="1"/>
  <c r="B45" i="33"/>
  <c r="Z44" i="33"/>
  <c r="X44" i="33"/>
  <c r="N44" i="33"/>
  <c r="L44" i="33"/>
  <c r="J44" i="33"/>
  <c r="B44" i="33"/>
  <c r="T43" i="33"/>
  <c r="P43" i="33"/>
  <c r="X43" i="33" s="1"/>
  <c r="Z43" i="33" s="1"/>
  <c r="J43" i="33"/>
  <c r="H43" i="33"/>
  <c r="D43" i="33"/>
  <c r="B43" i="33"/>
  <c r="Z42" i="33"/>
  <c r="X42" i="33"/>
  <c r="V42" i="33"/>
  <c r="N42" i="33"/>
  <c r="L42" i="33"/>
  <c r="B42" i="33"/>
  <c r="X41" i="33"/>
  <c r="Z41" i="33" s="1"/>
  <c r="N41" i="33"/>
  <c r="L41" i="33"/>
  <c r="B41" i="33"/>
  <c r="X40" i="33"/>
  <c r="Z40" i="33" s="1"/>
  <c r="V40" i="33"/>
  <c r="L40" i="33"/>
  <c r="N40" i="33" s="1"/>
  <c r="B40" i="33"/>
  <c r="Z39" i="33"/>
  <c r="X39" i="33"/>
  <c r="N39" i="33"/>
  <c r="L39" i="33"/>
  <c r="B39" i="33"/>
  <c r="X38" i="33"/>
  <c r="Z38" i="33" s="1"/>
  <c r="N38" i="33"/>
  <c r="L38" i="33"/>
  <c r="B38" i="33"/>
  <c r="X37" i="33"/>
  <c r="Z37" i="33" s="1"/>
  <c r="L37" i="33"/>
  <c r="N37" i="33" s="1"/>
  <c r="B37" i="33"/>
  <c r="X36" i="33"/>
  <c r="Z36" i="33" s="1"/>
  <c r="L36" i="33"/>
  <c r="N36" i="33" s="1"/>
  <c r="J36" i="33"/>
  <c r="B36" i="33"/>
  <c r="X35" i="33"/>
  <c r="Z35" i="33" s="1"/>
  <c r="V35" i="33"/>
  <c r="N35" i="33"/>
  <c r="L35" i="33"/>
  <c r="J35" i="33"/>
  <c r="B35" i="33"/>
  <c r="Z34" i="33"/>
  <c r="X34" i="33"/>
  <c r="L34" i="33"/>
  <c r="N34" i="33" s="1"/>
  <c r="J34" i="33"/>
  <c r="B34" i="33"/>
  <c r="T33" i="33"/>
  <c r="P33" i="33"/>
  <c r="J33" i="33"/>
  <c r="H33" i="33"/>
  <c r="L33" i="33" s="1"/>
  <c r="D33" i="33"/>
  <c r="B33" i="33"/>
  <c r="V32" i="33"/>
  <c r="T32" i="33"/>
  <c r="P32" i="33"/>
  <c r="H32" i="33"/>
  <c r="D32" i="33"/>
  <c r="L32" i="33" s="1"/>
  <c r="Z28" i="33"/>
  <c r="X28" i="33"/>
  <c r="V28" i="33"/>
  <c r="N28" i="33"/>
  <c r="L28" i="33"/>
  <c r="J28" i="33"/>
  <c r="B28" i="33"/>
  <c r="Z27" i="33"/>
  <c r="X27" i="33"/>
  <c r="N27" i="33"/>
  <c r="L27" i="33"/>
  <c r="J27" i="33"/>
  <c r="B27" i="33"/>
  <c r="T26" i="33"/>
  <c r="Z26" i="33" s="1"/>
  <c r="P26" i="33"/>
  <c r="H26" i="33"/>
  <c r="H30" i="33" s="1"/>
  <c r="D26" i="33"/>
  <c r="Z24" i="33"/>
  <c r="P24" i="33"/>
  <c r="X24" i="33" s="1"/>
  <c r="N24" i="33"/>
  <c r="D24" i="33"/>
  <c r="L24" i="33" s="1"/>
  <c r="B24" i="33"/>
  <c r="Z23" i="33"/>
  <c r="X23" i="33"/>
  <c r="P23" i="33"/>
  <c r="N23" i="33"/>
  <c r="D23" i="33"/>
  <c r="L23" i="33" s="1"/>
  <c r="B23" i="33"/>
  <c r="Z22" i="33"/>
  <c r="X22" i="33"/>
  <c r="P22" i="33"/>
  <c r="N22" i="33"/>
  <c r="D22" i="33"/>
  <c r="L22" i="33" s="1"/>
  <c r="B22" i="33"/>
  <c r="Z21" i="33"/>
  <c r="P21" i="33"/>
  <c r="X21" i="33" s="1"/>
  <c r="N21" i="33"/>
  <c r="D21" i="33"/>
  <c r="L21" i="33" s="1"/>
  <c r="B21" i="33"/>
  <c r="Z20" i="33"/>
  <c r="X20" i="33"/>
  <c r="P20" i="33"/>
  <c r="N20" i="33"/>
  <c r="D20" i="33"/>
  <c r="L20" i="33" s="1"/>
  <c r="B20" i="33"/>
  <c r="Z19" i="33"/>
  <c r="P19" i="33"/>
  <c r="X19" i="33" s="1"/>
  <c r="N19" i="33"/>
  <c r="L19" i="33"/>
  <c r="D19" i="33"/>
  <c r="B19" i="33"/>
  <c r="P18" i="33"/>
  <c r="X18" i="33" s="1"/>
  <c r="Z18" i="33" s="1"/>
  <c r="N18" i="33"/>
  <c r="D18" i="33"/>
  <c r="L18" i="33" s="1"/>
  <c r="B18" i="33"/>
  <c r="Z17" i="33"/>
  <c r="P17" i="33"/>
  <c r="X17" i="33" s="1"/>
  <c r="N17" i="33"/>
  <c r="L17" i="33"/>
  <c r="D17" i="33"/>
  <c r="B17" i="33"/>
  <c r="Z16" i="33"/>
  <c r="X16" i="33"/>
  <c r="P16" i="33"/>
  <c r="N16" i="33"/>
  <c r="D16" i="33"/>
  <c r="L16" i="33" s="1"/>
  <c r="B16" i="33"/>
  <c r="Z15" i="33"/>
  <c r="P15" i="33"/>
  <c r="X15" i="33" s="1"/>
  <c r="N15" i="33"/>
  <c r="D15" i="33"/>
  <c r="L15" i="33" s="1"/>
  <c r="B15" i="33"/>
  <c r="Z14" i="33"/>
  <c r="P14" i="33"/>
  <c r="X14" i="33" s="1"/>
  <c r="N14" i="33"/>
  <c r="D14" i="33"/>
  <c r="D12" i="33" s="1"/>
  <c r="B14" i="33"/>
  <c r="P13" i="33"/>
  <c r="X13" i="33" s="1"/>
  <c r="Z13" i="33" s="1"/>
  <c r="N13" i="33"/>
  <c r="L13" i="33"/>
  <c r="D13" i="33"/>
  <c r="B13" i="33"/>
  <c r="T12" i="33"/>
  <c r="V77" i="33" s="1"/>
  <c r="L12" i="33"/>
  <c r="N12" i="33" s="1"/>
  <c r="H12" i="33"/>
  <c r="D4" i="33"/>
  <c r="X173" i="30"/>
  <c r="Z173" i="30" s="1"/>
  <c r="N173" i="30"/>
  <c r="L173" i="30"/>
  <c r="Z169" i="30"/>
  <c r="X169" i="30"/>
  <c r="P169" i="30"/>
  <c r="N169" i="30"/>
  <c r="L169" i="30"/>
  <c r="D169" i="30"/>
  <c r="B169" i="30"/>
  <c r="X168" i="30"/>
  <c r="Z168" i="30" s="1"/>
  <c r="P168" i="30"/>
  <c r="N168" i="30"/>
  <c r="D168" i="30"/>
  <c r="L168" i="30" s="1"/>
  <c r="B168" i="30"/>
  <c r="Z167" i="30"/>
  <c r="V167" i="30"/>
  <c r="P167" i="30"/>
  <c r="X167" i="30" s="1"/>
  <c r="D167" i="30"/>
  <c r="L167" i="30" s="1"/>
  <c r="N167" i="30" s="1"/>
  <c r="B167" i="30"/>
  <c r="Z166" i="30"/>
  <c r="X166" i="30"/>
  <c r="P166" i="30"/>
  <c r="N166" i="30"/>
  <c r="D166" i="30"/>
  <c r="B166" i="30"/>
  <c r="T165" i="30"/>
  <c r="P165" i="30"/>
  <c r="X165" i="30" s="1"/>
  <c r="Z165" i="30" s="1"/>
  <c r="H165" i="30"/>
  <c r="Z163" i="30"/>
  <c r="X163" i="30"/>
  <c r="L163" i="30"/>
  <c r="N163" i="30" s="1"/>
  <c r="B163" i="30"/>
  <c r="X162" i="30"/>
  <c r="Z162" i="30" s="1"/>
  <c r="T162" i="30"/>
  <c r="P162" i="30"/>
  <c r="L162" i="30"/>
  <c r="J162" i="30"/>
  <c r="H162" i="30"/>
  <c r="D162" i="30"/>
  <c r="B162" i="30"/>
  <c r="Z161" i="30"/>
  <c r="X161" i="30"/>
  <c r="N161" i="30"/>
  <c r="L161" i="30"/>
  <c r="B161" i="30"/>
  <c r="X160" i="30"/>
  <c r="Z160" i="30" s="1"/>
  <c r="L160" i="30"/>
  <c r="N160" i="30" s="1"/>
  <c r="B160" i="30"/>
  <c r="T159" i="30"/>
  <c r="P159" i="30"/>
  <c r="X159" i="30" s="1"/>
  <c r="Z159" i="30" s="1"/>
  <c r="N159" i="30"/>
  <c r="L159" i="30"/>
  <c r="H159" i="30"/>
  <c r="D159" i="30"/>
  <c r="B159" i="30"/>
  <c r="Z158" i="30"/>
  <c r="X158" i="30"/>
  <c r="N158" i="30"/>
  <c r="L158" i="30"/>
  <c r="J158" i="30"/>
  <c r="B158" i="30"/>
  <c r="T157" i="30"/>
  <c r="X157" i="30" s="1"/>
  <c r="P157" i="30"/>
  <c r="L157" i="30"/>
  <c r="H157" i="30"/>
  <c r="N157" i="30" s="1"/>
  <c r="D157" i="30"/>
  <c r="B157" i="30"/>
  <c r="X156" i="30"/>
  <c r="Z156" i="30" s="1"/>
  <c r="L156" i="30"/>
  <c r="N156" i="30" s="1"/>
  <c r="B156" i="30"/>
  <c r="Z155" i="30"/>
  <c r="X155" i="30"/>
  <c r="N155" i="30"/>
  <c r="L155" i="30"/>
  <c r="B155" i="30"/>
  <c r="T154" i="30"/>
  <c r="Z154" i="30" s="1"/>
  <c r="P154" i="30"/>
  <c r="X154" i="30" s="1"/>
  <c r="L154" i="30"/>
  <c r="H154" i="30"/>
  <c r="D154" i="30"/>
  <c r="B154" i="30"/>
  <c r="X153" i="30"/>
  <c r="Z153" i="30" s="1"/>
  <c r="N153" i="30"/>
  <c r="L153" i="30"/>
  <c r="B153" i="30"/>
  <c r="X152" i="30"/>
  <c r="Z152" i="30" s="1"/>
  <c r="N152" i="30"/>
  <c r="L152" i="30"/>
  <c r="B152" i="30"/>
  <c r="Z151" i="30"/>
  <c r="X151" i="30"/>
  <c r="L151" i="30"/>
  <c r="N151" i="30" s="1"/>
  <c r="B151" i="30"/>
  <c r="X150" i="30"/>
  <c r="Z150" i="30" s="1"/>
  <c r="L150" i="30"/>
  <c r="N150" i="30" s="1"/>
  <c r="B150" i="30"/>
  <c r="Z149" i="30"/>
  <c r="X149" i="30"/>
  <c r="N149" i="30"/>
  <c r="L149" i="30"/>
  <c r="B149" i="30"/>
  <c r="X148" i="30"/>
  <c r="Z148" i="30" s="1"/>
  <c r="L148" i="30"/>
  <c r="N148" i="30" s="1"/>
  <c r="B148" i="30"/>
  <c r="Z147" i="30"/>
  <c r="X147" i="30"/>
  <c r="L147" i="30"/>
  <c r="N147" i="30" s="1"/>
  <c r="J147" i="30"/>
  <c r="B147" i="30"/>
  <c r="X146" i="30"/>
  <c r="Z146" i="30" s="1"/>
  <c r="L146" i="30"/>
  <c r="N146" i="30" s="1"/>
  <c r="B146" i="30"/>
  <c r="X145" i="30"/>
  <c r="Z145" i="30" s="1"/>
  <c r="V145" i="30"/>
  <c r="T145" i="30"/>
  <c r="P145" i="30"/>
  <c r="H145" i="30"/>
  <c r="D145" i="30"/>
  <c r="L145" i="30" s="1"/>
  <c r="B145" i="30"/>
  <c r="Z144" i="30"/>
  <c r="X144" i="30"/>
  <c r="V144" i="30"/>
  <c r="N144" i="30"/>
  <c r="L144" i="30"/>
  <c r="B144" i="30"/>
  <c r="Z143" i="30"/>
  <c r="X143" i="30"/>
  <c r="N143" i="30"/>
  <c r="L143" i="30"/>
  <c r="B143" i="30"/>
  <c r="T142" i="30"/>
  <c r="P142" i="30"/>
  <c r="X142" i="30" s="1"/>
  <c r="N142" i="30"/>
  <c r="L142" i="30"/>
  <c r="J142" i="30"/>
  <c r="H142" i="30"/>
  <c r="D142" i="30"/>
  <c r="B142" i="30"/>
  <c r="X141" i="30"/>
  <c r="Z141" i="30" s="1"/>
  <c r="V141" i="30"/>
  <c r="L141" i="30"/>
  <c r="N141" i="30" s="1"/>
  <c r="J141" i="30"/>
  <c r="B141" i="30"/>
  <c r="X140" i="30"/>
  <c r="Z140" i="30" s="1"/>
  <c r="L140" i="30"/>
  <c r="N140" i="30" s="1"/>
  <c r="B140" i="30"/>
  <c r="Z139" i="30"/>
  <c r="X139" i="30"/>
  <c r="N139" i="30"/>
  <c r="L139" i="30"/>
  <c r="B139" i="30"/>
  <c r="T138" i="30"/>
  <c r="P138" i="30"/>
  <c r="H138" i="30"/>
  <c r="D138" i="30"/>
  <c r="L138" i="30" s="1"/>
  <c r="N138" i="30" s="1"/>
  <c r="B138" i="30"/>
  <c r="X137" i="30"/>
  <c r="Z137" i="30" s="1"/>
  <c r="V137" i="30"/>
  <c r="L137" i="30"/>
  <c r="N137" i="30" s="1"/>
  <c r="B137" i="30"/>
  <c r="X136" i="30"/>
  <c r="Z136" i="30" s="1"/>
  <c r="L136" i="30"/>
  <c r="N136" i="30" s="1"/>
  <c r="J136" i="30"/>
  <c r="B136" i="30"/>
  <c r="X135" i="30"/>
  <c r="Z135" i="30" s="1"/>
  <c r="N135" i="30"/>
  <c r="L135" i="30"/>
  <c r="B135" i="30"/>
  <c r="T134" i="30"/>
  <c r="P134" i="30"/>
  <c r="X134" i="30" s="1"/>
  <c r="Z134" i="30" s="1"/>
  <c r="H134" i="30"/>
  <c r="D134" i="30"/>
  <c r="L134" i="30" s="1"/>
  <c r="N134" i="30" s="1"/>
  <c r="B134" i="30"/>
  <c r="X133" i="30"/>
  <c r="Z133" i="30" s="1"/>
  <c r="L133" i="30"/>
  <c r="N133" i="30" s="1"/>
  <c r="J133" i="30"/>
  <c r="B133" i="30"/>
  <c r="Z132" i="30"/>
  <c r="X132" i="30"/>
  <c r="V132" i="30"/>
  <c r="N132" i="30"/>
  <c r="L132" i="30"/>
  <c r="B132" i="30"/>
  <c r="Z131" i="30"/>
  <c r="X131" i="30"/>
  <c r="N131" i="30"/>
  <c r="L131" i="30"/>
  <c r="B131" i="30"/>
  <c r="T130" i="30"/>
  <c r="Z130" i="30" s="1"/>
  <c r="P130" i="30"/>
  <c r="X130" i="30" s="1"/>
  <c r="L130" i="30"/>
  <c r="N130" i="30" s="1"/>
  <c r="J130" i="30"/>
  <c r="H130" i="30"/>
  <c r="D130" i="30"/>
  <c r="B130" i="30"/>
  <c r="X129" i="30"/>
  <c r="Z129" i="30" s="1"/>
  <c r="V129" i="30"/>
  <c r="L129" i="30"/>
  <c r="N129" i="30" s="1"/>
  <c r="J129" i="30"/>
  <c r="B129" i="30"/>
  <c r="T128" i="30"/>
  <c r="P128" i="30"/>
  <c r="X128" i="30" s="1"/>
  <c r="Z128" i="30" s="1"/>
  <c r="H128" i="30"/>
  <c r="D128" i="30"/>
  <c r="B128" i="30"/>
  <c r="X127" i="30"/>
  <c r="Z127" i="30" s="1"/>
  <c r="N127" i="30"/>
  <c r="L127" i="30"/>
  <c r="B127" i="30"/>
  <c r="Z126" i="30"/>
  <c r="T126" i="30"/>
  <c r="X126" i="30" s="1"/>
  <c r="P126" i="30"/>
  <c r="H126" i="30"/>
  <c r="D126" i="30"/>
  <c r="L126" i="30" s="1"/>
  <c r="N126" i="30" s="1"/>
  <c r="B126" i="30"/>
  <c r="Z125" i="30"/>
  <c r="X125" i="30"/>
  <c r="N125" i="30"/>
  <c r="L125" i="30"/>
  <c r="J125" i="30"/>
  <c r="B125" i="30"/>
  <c r="X124" i="30"/>
  <c r="Z124" i="30" s="1"/>
  <c r="V124" i="30"/>
  <c r="L124" i="30"/>
  <c r="N124" i="30" s="1"/>
  <c r="B124" i="30"/>
  <c r="T123" i="30"/>
  <c r="P123" i="30"/>
  <c r="X123" i="30" s="1"/>
  <c r="Z123" i="30" s="1"/>
  <c r="H123" i="30"/>
  <c r="N123" i="30" s="1"/>
  <c r="D123" i="30"/>
  <c r="L123" i="30" s="1"/>
  <c r="B123" i="30"/>
  <c r="Z122" i="30"/>
  <c r="X122" i="30"/>
  <c r="N122" i="30"/>
  <c r="L122" i="30"/>
  <c r="B122" i="30"/>
  <c r="V121" i="30"/>
  <c r="T121" i="30"/>
  <c r="P121" i="30"/>
  <c r="N121" i="30"/>
  <c r="L121" i="30"/>
  <c r="H121" i="30"/>
  <c r="D121" i="30"/>
  <c r="B121" i="30"/>
  <c r="X120" i="30"/>
  <c r="Z120" i="30" s="1"/>
  <c r="L120" i="30"/>
  <c r="N120" i="30" s="1"/>
  <c r="J120" i="30"/>
  <c r="B120" i="30"/>
  <c r="X119" i="30"/>
  <c r="Z119" i="30" s="1"/>
  <c r="N119" i="30"/>
  <c r="L119" i="30"/>
  <c r="B119" i="30"/>
  <c r="T118" i="30"/>
  <c r="P118" i="30"/>
  <c r="X118" i="30" s="1"/>
  <c r="Z118" i="30" s="1"/>
  <c r="H118" i="30"/>
  <c r="D118" i="30"/>
  <c r="L118" i="30" s="1"/>
  <c r="N118" i="30" s="1"/>
  <c r="B118" i="30"/>
  <c r="X117" i="30"/>
  <c r="Z117" i="30" s="1"/>
  <c r="L117" i="30"/>
  <c r="N117" i="30" s="1"/>
  <c r="J117" i="30"/>
  <c r="B117" i="30"/>
  <c r="Z116" i="30"/>
  <c r="X116" i="30"/>
  <c r="V116" i="30"/>
  <c r="N116" i="30"/>
  <c r="L116" i="30"/>
  <c r="B116" i="30"/>
  <c r="T115" i="30"/>
  <c r="P115" i="30"/>
  <c r="X115" i="30" s="1"/>
  <c r="Z115" i="30" s="1"/>
  <c r="H115" i="30"/>
  <c r="D115" i="30"/>
  <c r="L115" i="30" s="1"/>
  <c r="B115" i="30"/>
  <c r="Z114" i="30"/>
  <c r="X114" i="30"/>
  <c r="N114" i="30"/>
  <c r="L114" i="30"/>
  <c r="B114" i="30"/>
  <c r="V113" i="30"/>
  <c r="T113" i="30"/>
  <c r="P113" i="30"/>
  <c r="L113" i="30"/>
  <c r="N113" i="30" s="1"/>
  <c r="H113" i="30"/>
  <c r="D113" i="30"/>
  <c r="B113" i="30"/>
  <c r="Z112" i="30"/>
  <c r="X112" i="30"/>
  <c r="N112" i="30"/>
  <c r="L112" i="30"/>
  <c r="J112" i="30"/>
  <c r="B112" i="30"/>
  <c r="T111" i="30"/>
  <c r="Z111" i="30" s="1"/>
  <c r="P111" i="30"/>
  <c r="X111" i="30" s="1"/>
  <c r="J111" i="30"/>
  <c r="H111" i="30"/>
  <c r="D111" i="30"/>
  <c r="B111" i="30"/>
  <c r="Z110" i="30"/>
  <c r="X110" i="30"/>
  <c r="N110" i="30"/>
  <c r="L110" i="30"/>
  <c r="B110" i="30"/>
  <c r="X109" i="30"/>
  <c r="Z109" i="30" s="1"/>
  <c r="L109" i="30"/>
  <c r="N109" i="30" s="1"/>
  <c r="J109" i="30"/>
  <c r="B109" i="30"/>
  <c r="X108" i="30"/>
  <c r="Z108" i="30" s="1"/>
  <c r="V108" i="30"/>
  <c r="T108" i="30"/>
  <c r="P108" i="30"/>
  <c r="H108" i="30"/>
  <c r="N108" i="30" s="1"/>
  <c r="D108" i="30"/>
  <c r="L108" i="30" s="1"/>
  <c r="B108" i="30"/>
  <c r="Z107" i="30"/>
  <c r="X107" i="30"/>
  <c r="L107" i="30"/>
  <c r="N107" i="30" s="1"/>
  <c r="B107" i="30"/>
  <c r="T106" i="30"/>
  <c r="P106" i="30"/>
  <c r="H106" i="30"/>
  <c r="D106" i="30"/>
  <c r="L106" i="30" s="1"/>
  <c r="N106" i="30" s="1"/>
  <c r="B106" i="30"/>
  <c r="X105" i="30"/>
  <c r="Z105" i="30" s="1"/>
  <c r="V105" i="30"/>
  <c r="L105" i="30"/>
  <c r="N105" i="30" s="1"/>
  <c r="B105" i="30"/>
  <c r="T104" i="30"/>
  <c r="P104" i="30"/>
  <c r="X104" i="30" s="1"/>
  <c r="Z104" i="30" s="1"/>
  <c r="N104" i="30"/>
  <c r="H104" i="30"/>
  <c r="D104" i="30"/>
  <c r="L104" i="30" s="1"/>
  <c r="B104" i="30"/>
  <c r="Z103" i="30"/>
  <c r="X103" i="30"/>
  <c r="N103" i="30"/>
  <c r="L103" i="30"/>
  <c r="B103" i="30"/>
  <c r="T102" i="30"/>
  <c r="P102" i="30"/>
  <c r="L102" i="30"/>
  <c r="N102" i="30" s="1"/>
  <c r="J102" i="30"/>
  <c r="H102" i="30"/>
  <c r="D102" i="30"/>
  <c r="B102" i="30"/>
  <c r="Z101" i="30"/>
  <c r="X101" i="30"/>
  <c r="V101" i="30"/>
  <c r="N101" i="30"/>
  <c r="L101" i="30"/>
  <c r="J101" i="30"/>
  <c r="B101" i="30"/>
  <c r="Z100" i="30"/>
  <c r="X100" i="30"/>
  <c r="N100" i="30"/>
  <c r="L100" i="30"/>
  <c r="B100" i="30"/>
  <c r="Z99" i="30"/>
  <c r="X99" i="30"/>
  <c r="L99" i="30"/>
  <c r="N99" i="30" s="1"/>
  <c r="B99" i="30"/>
  <c r="Z98" i="30"/>
  <c r="X98" i="30"/>
  <c r="N98" i="30"/>
  <c r="L98" i="30"/>
  <c r="B98" i="30"/>
  <c r="Z97" i="30"/>
  <c r="X97" i="30"/>
  <c r="V97" i="30"/>
  <c r="N97" i="30"/>
  <c r="L97" i="30"/>
  <c r="J97" i="30"/>
  <c r="B97" i="30"/>
  <c r="Z96" i="30"/>
  <c r="X96" i="30"/>
  <c r="N96" i="30"/>
  <c r="L96" i="30"/>
  <c r="B96" i="30"/>
  <c r="X95" i="30"/>
  <c r="Z95" i="30" s="1"/>
  <c r="L95" i="30"/>
  <c r="N95" i="30" s="1"/>
  <c r="B95" i="30"/>
  <c r="Z94" i="30"/>
  <c r="X94" i="30"/>
  <c r="N94" i="30"/>
  <c r="L94" i="30"/>
  <c r="B94" i="30"/>
  <c r="X93" i="30"/>
  <c r="Z93" i="30" s="1"/>
  <c r="V93" i="30"/>
  <c r="L93" i="30"/>
  <c r="N93" i="30" s="1"/>
  <c r="J93" i="30"/>
  <c r="B93" i="30"/>
  <c r="Z92" i="30"/>
  <c r="X92" i="30"/>
  <c r="N92" i="30"/>
  <c r="L92" i="30"/>
  <c r="B92" i="30"/>
  <c r="X91" i="30"/>
  <c r="Z91" i="30" s="1"/>
  <c r="T91" i="30"/>
  <c r="P91" i="30"/>
  <c r="J91" i="30"/>
  <c r="H91" i="30"/>
  <c r="D91" i="30"/>
  <c r="B91" i="30"/>
  <c r="Z90" i="30"/>
  <c r="X90" i="30"/>
  <c r="N90" i="30"/>
  <c r="L90" i="30"/>
  <c r="B90" i="30"/>
  <c r="X89" i="30"/>
  <c r="Z89" i="30" s="1"/>
  <c r="V89" i="30"/>
  <c r="L89" i="30"/>
  <c r="N89" i="30" s="1"/>
  <c r="B89" i="30"/>
  <c r="X88" i="30"/>
  <c r="Z88" i="30" s="1"/>
  <c r="L88" i="30"/>
  <c r="N88" i="30" s="1"/>
  <c r="J88" i="30"/>
  <c r="B88" i="30"/>
  <c r="Z87" i="30"/>
  <c r="X87" i="30"/>
  <c r="N87" i="30"/>
  <c r="L87" i="30"/>
  <c r="B87" i="30"/>
  <c r="Z86" i="30"/>
  <c r="X86" i="30"/>
  <c r="N86" i="30"/>
  <c r="L86" i="30"/>
  <c r="B86" i="30"/>
  <c r="X85" i="30"/>
  <c r="Z85" i="30" s="1"/>
  <c r="V85" i="30"/>
  <c r="L85" i="30"/>
  <c r="N85" i="30" s="1"/>
  <c r="B85" i="30"/>
  <c r="X84" i="30"/>
  <c r="Z84" i="30" s="1"/>
  <c r="L84" i="30"/>
  <c r="N84" i="30" s="1"/>
  <c r="J84" i="30"/>
  <c r="B84" i="30"/>
  <c r="X83" i="30"/>
  <c r="Z83" i="30" s="1"/>
  <c r="N83" i="30"/>
  <c r="L83" i="30"/>
  <c r="B83" i="30"/>
  <c r="Z82" i="30"/>
  <c r="X82" i="30"/>
  <c r="N82" i="30"/>
  <c r="L82" i="30"/>
  <c r="B82" i="30"/>
  <c r="V81" i="30"/>
  <c r="T81" i="30"/>
  <c r="P81" i="30"/>
  <c r="H81" i="30"/>
  <c r="D81" i="30"/>
  <c r="L81" i="30" s="1"/>
  <c r="B81" i="30"/>
  <c r="X80" i="30"/>
  <c r="Z80" i="30" s="1"/>
  <c r="V80" i="30"/>
  <c r="T80" i="30"/>
  <c r="P80" i="30"/>
  <c r="H80" i="30"/>
  <c r="D80" i="30"/>
  <c r="H78" i="30"/>
  <c r="Z76" i="30"/>
  <c r="X76" i="30"/>
  <c r="V76" i="30"/>
  <c r="N76" i="30"/>
  <c r="L76" i="30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J73" i="30"/>
  <c r="B73" i="30"/>
  <c r="Z72" i="30"/>
  <c r="X72" i="30"/>
  <c r="V72" i="30"/>
  <c r="N72" i="30"/>
  <c r="L72" i="30"/>
  <c r="B72" i="30"/>
  <c r="Z71" i="30"/>
  <c r="X71" i="30"/>
  <c r="N71" i="30"/>
  <c r="L71" i="30"/>
  <c r="B71" i="30"/>
  <c r="Z70" i="30"/>
  <c r="X70" i="30"/>
  <c r="N70" i="30"/>
  <c r="L70" i="30"/>
  <c r="B70" i="30"/>
  <c r="Z69" i="30"/>
  <c r="X69" i="30"/>
  <c r="N69" i="30"/>
  <c r="L69" i="30"/>
  <c r="J69" i="30"/>
  <c r="B69" i="30"/>
  <c r="Z68" i="30"/>
  <c r="X68" i="30"/>
  <c r="V68" i="30"/>
  <c r="N68" i="30"/>
  <c r="L68" i="30"/>
  <c r="B68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N65" i="30"/>
  <c r="L65" i="30"/>
  <c r="J65" i="30"/>
  <c r="B65" i="30"/>
  <c r="Z64" i="30"/>
  <c r="X64" i="30"/>
  <c r="V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V61" i="30"/>
  <c r="N61" i="30"/>
  <c r="L61" i="30"/>
  <c r="J61" i="30"/>
  <c r="B61" i="30"/>
  <c r="Z60" i="30"/>
  <c r="X60" i="30"/>
  <c r="V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V57" i="30"/>
  <c r="N57" i="30"/>
  <c r="L57" i="30"/>
  <c r="J57" i="30"/>
  <c r="B57" i="30"/>
  <c r="Z56" i="30"/>
  <c r="X56" i="30"/>
  <c r="V56" i="30"/>
  <c r="N56" i="30"/>
  <c r="L56" i="30"/>
  <c r="B56" i="30"/>
  <c r="Z55" i="30"/>
  <c r="X55" i="30"/>
  <c r="N55" i="30"/>
  <c r="L55" i="30"/>
  <c r="B55" i="30"/>
  <c r="Z54" i="30"/>
  <c r="X54" i="30"/>
  <c r="V54" i="30"/>
  <c r="N54" i="30"/>
  <c r="L54" i="30"/>
  <c r="B54" i="30"/>
  <c r="X53" i="30"/>
  <c r="Z53" i="30" s="1"/>
  <c r="V53" i="30"/>
  <c r="L53" i="30"/>
  <c r="N53" i="30" s="1"/>
  <c r="J53" i="30"/>
  <c r="B53" i="30"/>
  <c r="X52" i="30"/>
  <c r="Z52" i="30" s="1"/>
  <c r="V52" i="30"/>
  <c r="T52" i="30"/>
  <c r="P52" i="30"/>
  <c r="H52" i="30"/>
  <c r="D52" i="30"/>
  <c r="L52" i="30" s="1"/>
  <c r="Z50" i="30"/>
  <c r="P50" i="30"/>
  <c r="X50" i="30" s="1"/>
  <c r="N50" i="30"/>
  <c r="D50" i="30"/>
  <c r="L50" i="30" s="1"/>
  <c r="B50" i="30"/>
  <c r="Z49" i="30"/>
  <c r="P49" i="30"/>
  <c r="X49" i="30" s="1"/>
  <c r="N49" i="30"/>
  <c r="L49" i="30"/>
  <c r="D49" i="30"/>
  <c r="B49" i="30"/>
  <c r="Z48" i="30"/>
  <c r="P48" i="30"/>
  <c r="X48" i="30" s="1"/>
  <c r="N48" i="30"/>
  <c r="L48" i="30"/>
  <c r="D48" i="30"/>
  <c r="B48" i="30"/>
  <c r="Z47" i="30"/>
  <c r="X47" i="30"/>
  <c r="P47" i="30"/>
  <c r="N47" i="30"/>
  <c r="D47" i="30"/>
  <c r="L47" i="30" s="1"/>
  <c r="B47" i="30"/>
  <c r="Z46" i="30"/>
  <c r="X46" i="30"/>
  <c r="P46" i="30"/>
  <c r="N46" i="30"/>
  <c r="D46" i="30"/>
  <c r="L46" i="30" s="1"/>
  <c r="B46" i="30"/>
  <c r="Z45" i="30"/>
  <c r="P45" i="30"/>
  <c r="X45" i="30" s="1"/>
  <c r="N45" i="30"/>
  <c r="D45" i="30"/>
  <c r="L45" i="30" s="1"/>
  <c r="B45" i="30"/>
  <c r="Z44" i="30"/>
  <c r="P44" i="30"/>
  <c r="X44" i="30" s="1"/>
  <c r="N44" i="30"/>
  <c r="L44" i="30"/>
  <c r="D44" i="30"/>
  <c r="B44" i="30"/>
  <c r="Z43" i="30"/>
  <c r="X43" i="30"/>
  <c r="P43" i="30"/>
  <c r="N43" i="30"/>
  <c r="L43" i="30"/>
  <c r="D43" i="30"/>
  <c r="B43" i="30"/>
  <c r="Z42" i="30"/>
  <c r="X42" i="30"/>
  <c r="P42" i="30"/>
  <c r="N42" i="30"/>
  <c r="D42" i="30"/>
  <c r="L42" i="30" s="1"/>
  <c r="B42" i="30"/>
  <c r="Z41" i="30"/>
  <c r="P41" i="30"/>
  <c r="X41" i="30" s="1"/>
  <c r="N41" i="30"/>
  <c r="D41" i="30"/>
  <c r="L41" i="30" s="1"/>
  <c r="B41" i="30"/>
  <c r="Z40" i="30"/>
  <c r="X40" i="30"/>
  <c r="P40" i="30"/>
  <c r="N40" i="30"/>
  <c r="L40" i="30"/>
  <c r="D40" i="30"/>
  <c r="B40" i="30"/>
  <c r="Z39" i="30"/>
  <c r="X39" i="30"/>
  <c r="P39" i="30"/>
  <c r="N39" i="30"/>
  <c r="L39" i="30"/>
  <c r="D39" i="30"/>
  <c r="B39" i="30"/>
  <c r="Z38" i="30"/>
  <c r="X38" i="30"/>
  <c r="P38" i="30"/>
  <c r="N38" i="30"/>
  <c r="D38" i="30"/>
  <c r="L38" i="30" s="1"/>
  <c r="B38" i="30"/>
  <c r="Z37" i="30"/>
  <c r="P37" i="30"/>
  <c r="X37" i="30" s="1"/>
  <c r="N37" i="30"/>
  <c r="L37" i="30"/>
  <c r="D37" i="30"/>
  <c r="B37" i="30"/>
  <c r="Z36" i="30"/>
  <c r="P36" i="30"/>
  <c r="X36" i="30" s="1"/>
  <c r="N36" i="30"/>
  <c r="L36" i="30"/>
  <c r="D36" i="30"/>
  <c r="B36" i="30"/>
  <c r="Z35" i="30"/>
  <c r="X35" i="30"/>
  <c r="P35" i="30"/>
  <c r="N35" i="30"/>
  <c r="L35" i="30"/>
  <c r="D35" i="30"/>
  <c r="B35" i="30"/>
  <c r="Z34" i="30"/>
  <c r="X34" i="30"/>
  <c r="P34" i="30"/>
  <c r="N34" i="30"/>
  <c r="D34" i="30"/>
  <c r="L34" i="30" s="1"/>
  <c r="B34" i="30"/>
  <c r="Z33" i="30"/>
  <c r="P33" i="30"/>
  <c r="X33" i="30" s="1"/>
  <c r="N33" i="30"/>
  <c r="D33" i="30"/>
  <c r="L33" i="30" s="1"/>
  <c r="B33" i="30"/>
  <c r="Z32" i="30"/>
  <c r="P32" i="30"/>
  <c r="X32" i="30" s="1"/>
  <c r="N32" i="30"/>
  <c r="L32" i="30"/>
  <c r="D32" i="30"/>
  <c r="B32" i="30"/>
  <c r="Z31" i="30"/>
  <c r="X31" i="30"/>
  <c r="P31" i="30"/>
  <c r="N31" i="30"/>
  <c r="L31" i="30"/>
  <c r="D31" i="30"/>
  <c r="B31" i="30"/>
  <c r="Z30" i="30"/>
  <c r="X30" i="30"/>
  <c r="P30" i="30"/>
  <c r="N30" i="30"/>
  <c r="D30" i="30"/>
  <c r="L30" i="30" s="1"/>
  <c r="B30" i="30"/>
  <c r="Z29" i="30"/>
  <c r="P29" i="30"/>
  <c r="X29" i="30" s="1"/>
  <c r="N29" i="30"/>
  <c r="D29" i="30"/>
  <c r="L29" i="30" s="1"/>
  <c r="B29" i="30"/>
  <c r="Z28" i="30"/>
  <c r="X28" i="30"/>
  <c r="P28" i="30"/>
  <c r="N28" i="30"/>
  <c r="L28" i="30"/>
  <c r="D28" i="30"/>
  <c r="B28" i="30"/>
  <c r="Z27" i="30"/>
  <c r="X27" i="30"/>
  <c r="P27" i="30"/>
  <c r="N27" i="30"/>
  <c r="L27" i="30"/>
  <c r="D27" i="30"/>
  <c r="B27" i="30"/>
  <c r="Z26" i="30"/>
  <c r="X26" i="30"/>
  <c r="P26" i="30"/>
  <c r="N26" i="30"/>
  <c r="D26" i="30"/>
  <c r="L26" i="30" s="1"/>
  <c r="B26" i="30"/>
  <c r="Z25" i="30"/>
  <c r="P25" i="30"/>
  <c r="X25" i="30" s="1"/>
  <c r="N25" i="30"/>
  <c r="L25" i="30"/>
  <c r="D25" i="30"/>
  <c r="B25" i="30"/>
  <c r="Z24" i="30"/>
  <c r="P24" i="30"/>
  <c r="X24" i="30" s="1"/>
  <c r="N24" i="30"/>
  <c r="L24" i="30"/>
  <c r="D24" i="30"/>
  <c r="B24" i="30"/>
  <c r="Z23" i="30"/>
  <c r="X23" i="30"/>
  <c r="P23" i="30"/>
  <c r="N23" i="30"/>
  <c r="D23" i="30"/>
  <c r="L23" i="30" s="1"/>
  <c r="B23" i="30"/>
  <c r="Z22" i="30"/>
  <c r="X22" i="30"/>
  <c r="P22" i="30"/>
  <c r="N22" i="30"/>
  <c r="D22" i="30"/>
  <c r="L22" i="30" s="1"/>
  <c r="B22" i="30"/>
  <c r="Z21" i="30"/>
  <c r="P21" i="30"/>
  <c r="X21" i="30" s="1"/>
  <c r="N21" i="30"/>
  <c r="D21" i="30"/>
  <c r="L21" i="30" s="1"/>
  <c r="B21" i="30"/>
  <c r="Z20" i="30"/>
  <c r="P20" i="30"/>
  <c r="X20" i="30" s="1"/>
  <c r="N20" i="30"/>
  <c r="L20" i="30"/>
  <c r="D20" i="30"/>
  <c r="B20" i="30"/>
  <c r="Z19" i="30"/>
  <c r="X19" i="30"/>
  <c r="P19" i="30"/>
  <c r="N19" i="30"/>
  <c r="L19" i="30"/>
  <c r="D19" i="30"/>
  <c r="B19" i="30"/>
  <c r="Z18" i="30"/>
  <c r="X18" i="30"/>
  <c r="P18" i="30"/>
  <c r="N18" i="30"/>
  <c r="D18" i="30"/>
  <c r="L18" i="30" s="1"/>
  <c r="B18" i="30"/>
  <c r="Z17" i="30"/>
  <c r="P17" i="30"/>
  <c r="X17" i="30" s="1"/>
  <c r="N17" i="30"/>
  <c r="D17" i="30"/>
  <c r="L17" i="30" s="1"/>
  <c r="B17" i="30"/>
  <c r="Z16" i="30"/>
  <c r="X16" i="30"/>
  <c r="P16" i="30"/>
  <c r="N16" i="30"/>
  <c r="L16" i="30"/>
  <c r="D16" i="30"/>
  <c r="B16" i="30"/>
  <c r="Z15" i="30"/>
  <c r="X15" i="30"/>
  <c r="P15" i="30"/>
  <c r="N15" i="30"/>
  <c r="L15" i="30"/>
  <c r="D15" i="30"/>
  <c r="B15" i="30"/>
  <c r="Z14" i="30"/>
  <c r="P14" i="30"/>
  <c r="X14" i="30" s="1"/>
  <c r="N14" i="30"/>
  <c r="D14" i="30"/>
  <c r="L14" i="30" s="1"/>
  <c r="B14" i="30"/>
  <c r="P13" i="30"/>
  <c r="N13" i="30"/>
  <c r="L13" i="30"/>
  <c r="D13" i="30"/>
  <c r="B13" i="30"/>
  <c r="T12" i="30"/>
  <c r="V165" i="30" s="1"/>
  <c r="H12" i="30"/>
  <c r="J169" i="30" s="1"/>
  <c r="D4" i="30"/>
  <c r="X122" i="27"/>
  <c r="Z122" i="27" s="1"/>
  <c r="N122" i="27"/>
  <c r="L122" i="27"/>
  <c r="Z118" i="27"/>
  <c r="P118" i="27"/>
  <c r="N118" i="27"/>
  <c r="D118" i="27"/>
  <c r="L118" i="27" s="1"/>
  <c r="B118" i="27"/>
  <c r="X117" i="27"/>
  <c r="Z117" i="27" s="1"/>
  <c r="P117" i="27"/>
  <c r="N117" i="27"/>
  <c r="L117" i="27"/>
  <c r="D117" i="27"/>
  <c r="B117" i="27"/>
  <c r="X116" i="27"/>
  <c r="Z116" i="27" s="1"/>
  <c r="V116" i="27"/>
  <c r="P116" i="27"/>
  <c r="L116" i="27"/>
  <c r="N116" i="27" s="1"/>
  <c r="D116" i="27"/>
  <c r="B116" i="27"/>
  <c r="T115" i="27"/>
  <c r="L115" i="27"/>
  <c r="N115" i="27" s="1"/>
  <c r="H115" i="27"/>
  <c r="D115" i="27"/>
  <c r="Z113" i="27"/>
  <c r="X113" i="27"/>
  <c r="N113" i="27"/>
  <c r="L113" i="27"/>
  <c r="B113" i="27"/>
  <c r="T112" i="27"/>
  <c r="Z112" i="27" s="1"/>
  <c r="P112" i="27"/>
  <c r="X112" i="27" s="1"/>
  <c r="N112" i="27"/>
  <c r="H112" i="27"/>
  <c r="D112" i="27"/>
  <c r="L112" i="27" s="1"/>
  <c r="B112" i="27"/>
  <c r="X111" i="27"/>
  <c r="Z111" i="27" s="1"/>
  <c r="N111" i="27"/>
  <c r="L111" i="27"/>
  <c r="B111" i="27"/>
  <c r="X110" i="27"/>
  <c r="Z110" i="27" s="1"/>
  <c r="T110" i="27"/>
  <c r="P110" i="27"/>
  <c r="H110" i="27"/>
  <c r="N110" i="27" s="1"/>
  <c r="D110" i="27"/>
  <c r="B110" i="27"/>
  <c r="Z109" i="27"/>
  <c r="X109" i="27"/>
  <c r="N109" i="27"/>
  <c r="L109" i="27"/>
  <c r="B109" i="27"/>
  <c r="X108" i="27"/>
  <c r="Z108" i="27" s="1"/>
  <c r="N108" i="27"/>
  <c r="L108" i="27"/>
  <c r="B108" i="27"/>
  <c r="T107" i="27"/>
  <c r="P107" i="27"/>
  <c r="X107" i="27" s="1"/>
  <c r="Z107" i="27" s="1"/>
  <c r="H107" i="27"/>
  <c r="D107" i="27"/>
  <c r="L107" i="27" s="1"/>
  <c r="N107" i="27" s="1"/>
  <c r="B107" i="27"/>
  <c r="Z106" i="27"/>
  <c r="X106" i="27"/>
  <c r="N106" i="27"/>
  <c r="L106" i="27"/>
  <c r="B106" i="27"/>
  <c r="Z105" i="27"/>
  <c r="X105" i="27"/>
  <c r="N105" i="27"/>
  <c r="L105" i="27"/>
  <c r="B105" i="27"/>
  <c r="Z104" i="27"/>
  <c r="X104" i="27"/>
  <c r="L104" i="27"/>
  <c r="N104" i="27" s="1"/>
  <c r="B104" i="27"/>
  <c r="X103" i="27"/>
  <c r="Z103" i="27" s="1"/>
  <c r="T103" i="27"/>
  <c r="P103" i="27"/>
  <c r="H103" i="27"/>
  <c r="D103" i="27"/>
  <c r="L103" i="27" s="1"/>
  <c r="B103" i="27"/>
  <c r="X102" i="27"/>
  <c r="Z102" i="27" s="1"/>
  <c r="N102" i="27"/>
  <c r="L102" i="27"/>
  <c r="B102" i="27"/>
  <c r="Z101" i="27"/>
  <c r="X101" i="27"/>
  <c r="N101" i="27"/>
  <c r="L101" i="27"/>
  <c r="B101" i="27"/>
  <c r="V100" i="27"/>
  <c r="T100" i="27"/>
  <c r="P100" i="27"/>
  <c r="N100" i="27"/>
  <c r="L100" i="27"/>
  <c r="H100" i="27"/>
  <c r="D100" i="27"/>
  <c r="B100" i="27"/>
  <c r="X99" i="27"/>
  <c r="Z99" i="27" s="1"/>
  <c r="L99" i="27"/>
  <c r="N99" i="27" s="1"/>
  <c r="B99" i="27"/>
  <c r="Z98" i="27"/>
  <c r="X98" i="27"/>
  <c r="N98" i="27"/>
  <c r="L98" i="27"/>
  <c r="B98" i="27"/>
  <c r="Z97" i="27"/>
  <c r="T97" i="27"/>
  <c r="P97" i="27"/>
  <c r="X97" i="27" s="1"/>
  <c r="L97" i="27"/>
  <c r="N97" i="27" s="1"/>
  <c r="H97" i="27"/>
  <c r="D97" i="27"/>
  <c r="B97" i="27"/>
  <c r="X96" i="27"/>
  <c r="Z96" i="27" s="1"/>
  <c r="L96" i="27"/>
  <c r="N96" i="27" s="1"/>
  <c r="B96" i="27"/>
  <c r="X95" i="27"/>
  <c r="Z95" i="27" s="1"/>
  <c r="V95" i="27"/>
  <c r="T95" i="27"/>
  <c r="P95" i="27"/>
  <c r="H95" i="27"/>
  <c r="D95" i="27"/>
  <c r="B95" i="27"/>
  <c r="Z94" i="27"/>
  <c r="X94" i="27"/>
  <c r="N94" i="27"/>
  <c r="L94" i="27"/>
  <c r="B94" i="27"/>
  <c r="Z93" i="27"/>
  <c r="X93" i="27"/>
  <c r="N93" i="27"/>
  <c r="L93" i="27"/>
  <c r="B93" i="27"/>
  <c r="T92" i="27"/>
  <c r="Z92" i="27" s="1"/>
  <c r="P92" i="27"/>
  <c r="X92" i="27" s="1"/>
  <c r="N92" i="27"/>
  <c r="L92" i="27"/>
  <c r="H92" i="27"/>
  <c r="D92" i="27"/>
  <c r="B92" i="27"/>
  <c r="Z91" i="27"/>
  <c r="X91" i="27"/>
  <c r="N91" i="27"/>
  <c r="L91" i="27"/>
  <c r="B91" i="27"/>
  <c r="Z90" i="27"/>
  <c r="X90" i="27"/>
  <c r="N90" i="27"/>
  <c r="L90" i="27"/>
  <c r="B90" i="27"/>
  <c r="Z89" i="27"/>
  <c r="T89" i="27"/>
  <c r="P89" i="27"/>
  <c r="X89" i="27" s="1"/>
  <c r="L89" i="27"/>
  <c r="H89" i="27"/>
  <c r="D89" i="27"/>
  <c r="B89" i="27"/>
  <c r="X88" i="27"/>
  <c r="Z88" i="27" s="1"/>
  <c r="L88" i="27"/>
  <c r="N88" i="27" s="1"/>
  <c r="B88" i="27"/>
  <c r="X87" i="27"/>
  <c r="Z87" i="27" s="1"/>
  <c r="V87" i="27"/>
  <c r="T87" i="27"/>
  <c r="P87" i="27"/>
  <c r="H87" i="27"/>
  <c r="D87" i="27"/>
  <c r="B87" i="27"/>
  <c r="Z86" i="27"/>
  <c r="X86" i="27"/>
  <c r="N86" i="27"/>
  <c r="L86" i="27"/>
  <c r="B86" i="27"/>
  <c r="T85" i="27"/>
  <c r="P85" i="27"/>
  <c r="H85" i="27"/>
  <c r="D85" i="27"/>
  <c r="L85" i="27" s="1"/>
  <c r="B85" i="27"/>
  <c r="Z84" i="27"/>
  <c r="X84" i="27"/>
  <c r="V84" i="27"/>
  <c r="N84" i="27"/>
  <c r="L84" i="27"/>
  <c r="B84" i="27"/>
  <c r="X83" i="27"/>
  <c r="Z83" i="27" s="1"/>
  <c r="L83" i="27"/>
  <c r="N83" i="27" s="1"/>
  <c r="B83" i="27"/>
  <c r="T82" i="27"/>
  <c r="P82" i="27"/>
  <c r="X82" i="27" s="1"/>
  <c r="Z82" i="27" s="1"/>
  <c r="J82" i="27"/>
  <c r="H82" i="27"/>
  <c r="D82" i="27"/>
  <c r="B82" i="27"/>
  <c r="Z81" i="27"/>
  <c r="X81" i="27"/>
  <c r="N81" i="27"/>
  <c r="L81" i="27"/>
  <c r="B81" i="27"/>
  <c r="T80" i="27"/>
  <c r="Z80" i="27" s="1"/>
  <c r="P80" i="27"/>
  <c r="X80" i="27" s="1"/>
  <c r="N80" i="27"/>
  <c r="H80" i="27"/>
  <c r="D80" i="27"/>
  <c r="L80" i="27" s="1"/>
  <c r="B80" i="27"/>
  <c r="Z79" i="27"/>
  <c r="X79" i="27"/>
  <c r="N79" i="27"/>
  <c r="L79" i="27"/>
  <c r="B79" i="27"/>
  <c r="Z78" i="27"/>
  <c r="X78" i="27"/>
  <c r="N78" i="27"/>
  <c r="L78" i="27"/>
  <c r="B78" i="27"/>
  <c r="Z77" i="27"/>
  <c r="X77" i="27"/>
  <c r="N77" i="27"/>
  <c r="L77" i="27"/>
  <c r="B77" i="27"/>
  <c r="X76" i="27"/>
  <c r="Z76" i="27" s="1"/>
  <c r="V76" i="27"/>
  <c r="R76" i="27"/>
  <c r="N76" i="27"/>
  <c r="L76" i="27"/>
  <c r="B76" i="27"/>
  <c r="Z75" i="27"/>
  <c r="X75" i="27"/>
  <c r="N75" i="27"/>
  <c r="L75" i="27"/>
  <c r="B75" i="27"/>
  <c r="Z74" i="27"/>
  <c r="X74" i="27"/>
  <c r="N74" i="27"/>
  <c r="L74" i="27"/>
  <c r="B74" i="27"/>
  <c r="Z73" i="27"/>
  <c r="X73" i="27"/>
  <c r="N73" i="27"/>
  <c r="L73" i="27"/>
  <c r="B73" i="27"/>
  <c r="Z72" i="27"/>
  <c r="X72" i="27"/>
  <c r="N72" i="27"/>
  <c r="L72" i="27"/>
  <c r="J72" i="27"/>
  <c r="B72" i="27"/>
  <c r="X71" i="27"/>
  <c r="Z71" i="27" s="1"/>
  <c r="L71" i="27"/>
  <c r="N71" i="27" s="1"/>
  <c r="B71" i="27"/>
  <c r="Z70" i="27"/>
  <c r="X70" i="27"/>
  <c r="N70" i="27"/>
  <c r="L70" i="27"/>
  <c r="B70" i="27"/>
  <c r="Z69" i="27"/>
  <c r="T69" i="27"/>
  <c r="P69" i="27"/>
  <c r="X69" i="27" s="1"/>
  <c r="H69" i="27"/>
  <c r="N69" i="27" s="1"/>
  <c r="D69" i="27"/>
  <c r="L69" i="27" s="1"/>
  <c r="B69" i="27"/>
  <c r="X68" i="27"/>
  <c r="Z68" i="27" s="1"/>
  <c r="N68" i="27"/>
  <c r="L68" i="27"/>
  <c r="B68" i="27"/>
  <c r="X67" i="27"/>
  <c r="Z67" i="27" s="1"/>
  <c r="L67" i="27"/>
  <c r="N67" i="27" s="1"/>
  <c r="B67" i="27"/>
  <c r="Z66" i="27"/>
  <c r="X66" i="27"/>
  <c r="L66" i="27"/>
  <c r="N66" i="27" s="1"/>
  <c r="B66" i="27"/>
  <c r="Z65" i="27"/>
  <c r="X65" i="27"/>
  <c r="N65" i="27"/>
  <c r="L65" i="27"/>
  <c r="B65" i="27"/>
  <c r="Z64" i="27"/>
  <c r="X64" i="27"/>
  <c r="V64" i="27"/>
  <c r="N64" i="27"/>
  <c r="L64" i="27"/>
  <c r="B64" i="27"/>
  <c r="X63" i="27"/>
  <c r="Z63" i="27" s="1"/>
  <c r="V63" i="27"/>
  <c r="L63" i="27"/>
  <c r="N63" i="27" s="1"/>
  <c r="J63" i="27"/>
  <c r="B63" i="27"/>
  <c r="Z62" i="27"/>
  <c r="X62" i="27"/>
  <c r="N62" i="27"/>
  <c r="L62" i="27"/>
  <c r="B62" i="27"/>
  <c r="Z61" i="27"/>
  <c r="X61" i="27"/>
  <c r="L61" i="27"/>
  <c r="N61" i="27" s="1"/>
  <c r="B61" i="27"/>
  <c r="X60" i="27"/>
  <c r="Z60" i="27" s="1"/>
  <c r="V60" i="27"/>
  <c r="L60" i="27"/>
  <c r="N60" i="27" s="1"/>
  <c r="B60" i="27"/>
  <c r="X59" i="27"/>
  <c r="Z59" i="27" s="1"/>
  <c r="V59" i="27"/>
  <c r="L59" i="27"/>
  <c r="N59" i="27" s="1"/>
  <c r="B59" i="27"/>
  <c r="T58" i="27"/>
  <c r="P58" i="27"/>
  <c r="X58" i="27" s="1"/>
  <c r="Z58" i="27" s="1"/>
  <c r="H58" i="27"/>
  <c r="D58" i="27"/>
  <c r="B58" i="27"/>
  <c r="T57" i="27"/>
  <c r="P57" i="27"/>
  <c r="X57" i="27" s="1"/>
  <c r="L57" i="27"/>
  <c r="J57" i="27"/>
  <c r="H57" i="27"/>
  <c r="N57" i="27" s="1"/>
  <c r="D57" i="27"/>
  <c r="T55" i="27"/>
  <c r="Z53" i="27"/>
  <c r="X53" i="27"/>
  <c r="N53" i="27"/>
  <c r="L53" i="27"/>
  <c r="B53" i="27"/>
  <c r="Z52" i="27"/>
  <c r="X52" i="27"/>
  <c r="N52" i="27"/>
  <c r="L52" i="27"/>
  <c r="J52" i="27"/>
  <c r="B52" i="27"/>
  <c r="Z51" i="27"/>
  <c r="X51" i="27"/>
  <c r="N51" i="27"/>
  <c r="L51" i="27"/>
  <c r="B51" i="27"/>
  <c r="Z50" i="27"/>
  <c r="X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J48" i="27"/>
  <c r="B48" i="27"/>
  <c r="Z47" i="27"/>
  <c r="X47" i="27"/>
  <c r="V47" i="27"/>
  <c r="N47" i="27"/>
  <c r="L47" i="27"/>
  <c r="B47" i="27"/>
  <c r="Z46" i="27"/>
  <c r="X46" i="27"/>
  <c r="N46" i="27"/>
  <c r="L46" i="27"/>
  <c r="B46" i="27"/>
  <c r="Z45" i="27"/>
  <c r="X45" i="27"/>
  <c r="N45" i="27"/>
  <c r="L45" i="27"/>
  <c r="B45" i="27"/>
  <c r="Z44" i="27"/>
  <c r="X44" i="27"/>
  <c r="N44" i="27"/>
  <c r="L44" i="27"/>
  <c r="B44" i="27"/>
  <c r="Z43" i="27"/>
  <c r="X43" i="27"/>
  <c r="V43" i="27"/>
  <c r="N43" i="27"/>
  <c r="L43" i="27"/>
  <c r="B43" i="27"/>
  <c r="Z42" i="27"/>
  <c r="X42" i="27"/>
  <c r="N42" i="27"/>
  <c r="L42" i="27"/>
  <c r="B42" i="27"/>
  <c r="Z41" i="27"/>
  <c r="X41" i="27"/>
  <c r="N41" i="27"/>
  <c r="L41" i="27"/>
  <c r="B41" i="27"/>
  <c r="Z40" i="27"/>
  <c r="X40" i="27"/>
  <c r="N40" i="27"/>
  <c r="L40" i="27"/>
  <c r="B40" i="27"/>
  <c r="Z39" i="27"/>
  <c r="X39" i="27"/>
  <c r="N39" i="27"/>
  <c r="L39" i="27"/>
  <c r="B39" i="27"/>
  <c r="Z38" i="27"/>
  <c r="X38" i="27"/>
  <c r="L38" i="27"/>
  <c r="N38" i="27" s="1"/>
  <c r="B38" i="27"/>
  <c r="T37" i="27"/>
  <c r="P37" i="27"/>
  <c r="X37" i="27" s="1"/>
  <c r="L37" i="27"/>
  <c r="J37" i="27"/>
  <c r="H37" i="27"/>
  <c r="N37" i="27" s="1"/>
  <c r="D37" i="27"/>
  <c r="Z35" i="27"/>
  <c r="P35" i="27"/>
  <c r="X35" i="27" s="1"/>
  <c r="N35" i="27"/>
  <c r="L35" i="27"/>
  <c r="D35" i="27"/>
  <c r="B35" i="27"/>
  <c r="Z34" i="27"/>
  <c r="X34" i="27"/>
  <c r="P34" i="27"/>
  <c r="N34" i="27"/>
  <c r="L34" i="27"/>
  <c r="D34" i="27"/>
  <c r="B34" i="27"/>
  <c r="Z33" i="27"/>
  <c r="P33" i="27"/>
  <c r="X33" i="27" s="1"/>
  <c r="N33" i="27"/>
  <c r="D33" i="27"/>
  <c r="L33" i="27" s="1"/>
  <c r="B33" i="27"/>
  <c r="Z32" i="27"/>
  <c r="P32" i="27"/>
  <c r="X32" i="27" s="1"/>
  <c r="N32" i="27"/>
  <c r="D32" i="27"/>
  <c r="L32" i="27" s="1"/>
  <c r="B32" i="27"/>
  <c r="Z31" i="27"/>
  <c r="X31" i="27"/>
  <c r="P31" i="27"/>
  <c r="N31" i="27"/>
  <c r="L31" i="27"/>
  <c r="D31" i="27"/>
  <c r="B31" i="27"/>
  <c r="Z30" i="27"/>
  <c r="P30" i="27"/>
  <c r="X30" i="27" s="1"/>
  <c r="N30" i="27"/>
  <c r="L30" i="27"/>
  <c r="D30" i="27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X27" i="27"/>
  <c r="P27" i="27"/>
  <c r="N27" i="27"/>
  <c r="D27" i="27"/>
  <c r="L27" i="27" s="1"/>
  <c r="B27" i="27"/>
  <c r="Z26" i="27"/>
  <c r="X26" i="27"/>
  <c r="P26" i="27"/>
  <c r="N26" i="27"/>
  <c r="D26" i="27"/>
  <c r="L26" i="27" s="1"/>
  <c r="B26" i="27"/>
  <c r="Z25" i="27"/>
  <c r="X25" i="27"/>
  <c r="P25" i="27"/>
  <c r="N25" i="27"/>
  <c r="D25" i="27"/>
  <c r="L25" i="27" s="1"/>
  <c r="B25" i="27"/>
  <c r="Z24" i="27"/>
  <c r="P24" i="27"/>
  <c r="X24" i="27" s="1"/>
  <c r="N24" i="27"/>
  <c r="L24" i="27"/>
  <c r="D24" i="27"/>
  <c r="B24" i="27"/>
  <c r="Z23" i="27"/>
  <c r="P23" i="27"/>
  <c r="X23" i="27" s="1"/>
  <c r="N23" i="27"/>
  <c r="L23" i="27"/>
  <c r="D23" i="27"/>
  <c r="B23" i="27"/>
  <c r="Z22" i="27"/>
  <c r="X22" i="27"/>
  <c r="P22" i="27"/>
  <c r="N22" i="27"/>
  <c r="L22" i="27"/>
  <c r="D22" i="27"/>
  <c r="B22" i="27"/>
  <c r="Z21" i="27"/>
  <c r="X21" i="27"/>
  <c r="P21" i="27"/>
  <c r="N21" i="27"/>
  <c r="D21" i="27"/>
  <c r="L21" i="27" s="1"/>
  <c r="B21" i="27"/>
  <c r="Z20" i="27"/>
  <c r="P20" i="27"/>
  <c r="X20" i="27" s="1"/>
  <c r="N20" i="27"/>
  <c r="D20" i="27"/>
  <c r="L20" i="27" s="1"/>
  <c r="B20" i="27"/>
  <c r="Z19" i="27"/>
  <c r="X19" i="27"/>
  <c r="P19" i="27"/>
  <c r="N19" i="27"/>
  <c r="L19" i="27"/>
  <c r="D19" i="27"/>
  <c r="B19" i="27"/>
  <c r="Z18" i="27"/>
  <c r="P18" i="27"/>
  <c r="X18" i="27" s="1"/>
  <c r="N18" i="27"/>
  <c r="L18" i="27"/>
  <c r="D18" i="27"/>
  <c r="B18" i="27"/>
  <c r="Z17" i="27"/>
  <c r="X17" i="27"/>
  <c r="P17" i="27"/>
  <c r="N17" i="27"/>
  <c r="D17" i="27"/>
  <c r="L17" i="27" s="1"/>
  <c r="B17" i="27"/>
  <c r="Z16" i="27"/>
  <c r="P16" i="27"/>
  <c r="X16" i="27" s="1"/>
  <c r="N16" i="27"/>
  <c r="L16" i="27"/>
  <c r="D16" i="27"/>
  <c r="B16" i="27"/>
  <c r="Z15" i="27"/>
  <c r="X15" i="27"/>
  <c r="P15" i="27"/>
  <c r="N15" i="27"/>
  <c r="D15" i="27"/>
  <c r="L15" i="27" s="1"/>
  <c r="B15" i="27"/>
  <c r="Z14" i="27"/>
  <c r="X14" i="27"/>
  <c r="P14" i="27"/>
  <c r="N14" i="27"/>
  <c r="L14" i="27"/>
  <c r="D14" i="27"/>
  <c r="B14" i="27"/>
  <c r="X13" i="27"/>
  <c r="Z13" i="27" s="1"/>
  <c r="P13" i="27"/>
  <c r="D13" i="27"/>
  <c r="B13" i="27"/>
  <c r="T12" i="27"/>
  <c r="V92" i="27" s="1"/>
  <c r="P12" i="27"/>
  <c r="H12" i="27"/>
  <c r="J99" i="27" s="1"/>
  <c r="D4" i="27"/>
  <c r="Z98" i="24"/>
  <c r="X98" i="24"/>
  <c r="N98" i="24"/>
  <c r="L98" i="24"/>
  <c r="J98" i="24"/>
  <c r="Z94" i="24"/>
  <c r="T94" i="24"/>
  <c r="P94" i="24"/>
  <c r="X94" i="24" s="1"/>
  <c r="N94" i="24"/>
  <c r="H94" i="24"/>
  <c r="D94" i="24"/>
  <c r="L94" i="24" s="1"/>
  <c r="X92" i="24"/>
  <c r="Z92" i="24" s="1"/>
  <c r="N92" i="24"/>
  <c r="L92" i="24"/>
  <c r="B92" i="24"/>
  <c r="X91" i="24"/>
  <c r="V91" i="24"/>
  <c r="T91" i="24"/>
  <c r="P91" i="24"/>
  <c r="L91" i="24"/>
  <c r="H91" i="24"/>
  <c r="N91" i="24" s="1"/>
  <c r="D91" i="24"/>
  <c r="B91" i="24"/>
  <c r="Z90" i="24"/>
  <c r="X90" i="24"/>
  <c r="N90" i="24"/>
  <c r="L90" i="24"/>
  <c r="B90" i="24"/>
  <c r="Z89" i="24"/>
  <c r="X89" i="24"/>
  <c r="N89" i="24"/>
  <c r="L89" i="24"/>
  <c r="B89" i="24"/>
  <c r="T88" i="24"/>
  <c r="P88" i="24"/>
  <c r="N88" i="24"/>
  <c r="L88" i="24"/>
  <c r="H88" i="24"/>
  <c r="D88" i="24"/>
  <c r="B88" i="24"/>
  <c r="Z87" i="24"/>
  <c r="X87" i="24"/>
  <c r="V87" i="24"/>
  <c r="N87" i="24"/>
  <c r="L87" i="24"/>
  <c r="J87" i="24"/>
  <c r="B87" i="24"/>
  <c r="Z86" i="24"/>
  <c r="X86" i="24"/>
  <c r="V86" i="24"/>
  <c r="L86" i="24"/>
  <c r="N86" i="24" s="1"/>
  <c r="B86" i="24"/>
  <c r="Z85" i="24"/>
  <c r="X85" i="24"/>
  <c r="N85" i="24"/>
  <c r="L85" i="24"/>
  <c r="B85" i="24"/>
  <c r="Z84" i="24"/>
  <c r="X84" i="24"/>
  <c r="V84" i="24"/>
  <c r="L84" i="24"/>
  <c r="N84" i="24" s="1"/>
  <c r="B84" i="24"/>
  <c r="V83" i="24"/>
  <c r="T83" i="24"/>
  <c r="P83" i="24"/>
  <c r="X83" i="24" s="1"/>
  <c r="H83" i="24"/>
  <c r="D83" i="24"/>
  <c r="L83" i="24" s="1"/>
  <c r="N83" i="24" s="1"/>
  <c r="B83" i="24"/>
  <c r="X82" i="24"/>
  <c r="Z82" i="24" s="1"/>
  <c r="N82" i="24"/>
  <c r="L82" i="24"/>
  <c r="B82" i="24"/>
  <c r="Z81" i="24"/>
  <c r="X81" i="24"/>
  <c r="N81" i="24"/>
  <c r="L81" i="24"/>
  <c r="B81" i="24"/>
  <c r="T80" i="24"/>
  <c r="P80" i="24"/>
  <c r="X80" i="24" s="1"/>
  <c r="Z80" i="24" s="1"/>
  <c r="H80" i="24"/>
  <c r="D80" i="24"/>
  <c r="L80" i="24" s="1"/>
  <c r="N80" i="24" s="1"/>
  <c r="B80" i="24"/>
  <c r="X79" i="24"/>
  <c r="Z79" i="24" s="1"/>
  <c r="N79" i="24"/>
  <c r="L79" i="24"/>
  <c r="B79" i="24"/>
  <c r="Z78" i="24"/>
  <c r="X78" i="24"/>
  <c r="N78" i="24"/>
  <c r="L78" i="24"/>
  <c r="B78" i="24"/>
  <c r="T77" i="24"/>
  <c r="P77" i="24"/>
  <c r="H77" i="24"/>
  <c r="D77" i="24"/>
  <c r="B77" i="24"/>
  <c r="Z76" i="24"/>
  <c r="X76" i="24"/>
  <c r="V76" i="24"/>
  <c r="N76" i="24"/>
  <c r="L76" i="24"/>
  <c r="B76" i="24"/>
  <c r="V75" i="24"/>
  <c r="T75" i="24"/>
  <c r="Z75" i="24" s="1"/>
  <c r="P75" i="24"/>
  <c r="X75" i="24" s="1"/>
  <c r="N75" i="24"/>
  <c r="H75" i="24"/>
  <c r="D75" i="24"/>
  <c r="L75" i="24" s="1"/>
  <c r="B75" i="24"/>
  <c r="X74" i="24"/>
  <c r="Z74" i="24" s="1"/>
  <c r="N74" i="24"/>
  <c r="L74" i="24"/>
  <c r="B74" i="24"/>
  <c r="X73" i="24"/>
  <c r="T73" i="24"/>
  <c r="Z73" i="24" s="1"/>
  <c r="P73" i="24"/>
  <c r="L73" i="24"/>
  <c r="J73" i="24"/>
  <c r="H73" i="24"/>
  <c r="N73" i="24" s="1"/>
  <c r="D73" i="24"/>
  <c r="B73" i="24"/>
  <c r="Z72" i="24"/>
  <c r="X72" i="24"/>
  <c r="N72" i="24"/>
  <c r="L72" i="24"/>
  <c r="J72" i="24"/>
  <c r="B72" i="24"/>
  <c r="T71" i="24"/>
  <c r="P71" i="24"/>
  <c r="H71" i="24"/>
  <c r="D71" i="24"/>
  <c r="B71" i="24"/>
  <c r="Z70" i="24"/>
  <c r="X70" i="24"/>
  <c r="V70" i="24"/>
  <c r="N70" i="24"/>
  <c r="L70" i="24"/>
  <c r="B70" i="24"/>
  <c r="Z69" i="24"/>
  <c r="X69" i="24"/>
  <c r="L69" i="24"/>
  <c r="N69" i="24" s="1"/>
  <c r="B69" i="24"/>
  <c r="V68" i="24"/>
  <c r="T68" i="24"/>
  <c r="Z68" i="24" s="1"/>
  <c r="P68" i="24"/>
  <c r="X68" i="24" s="1"/>
  <c r="H68" i="24"/>
  <c r="D68" i="24"/>
  <c r="L68" i="24" s="1"/>
  <c r="N68" i="24" s="1"/>
  <c r="B68" i="24"/>
  <c r="X67" i="24"/>
  <c r="Z67" i="24" s="1"/>
  <c r="V67" i="24"/>
  <c r="L67" i="24"/>
  <c r="N67" i="24" s="1"/>
  <c r="B67" i="24"/>
  <c r="T66" i="24"/>
  <c r="P66" i="24"/>
  <c r="X66" i="24" s="1"/>
  <c r="Z66" i="24" s="1"/>
  <c r="H66" i="24"/>
  <c r="D66" i="24"/>
  <c r="L66" i="24" s="1"/>
  <c r="N66" i="24" s="1"/>
  <c r="B66" i="24"/>
  <c r="Z65" i="24"/>
  <c r="X65" i="24"/>
  <c r="N65" i="24"/>
  <c r="L65" i="24"/>
  <c r="B65" i="24"/>
  <c r="T64" i="24"/>
  <c r="Z64" i="24" s="1"/>
  <c r="P64" i="24"/>
  <c r="N64" i="24"/>
  <c r="L64" i="24"/>
  <c r="H64" i="24"/>
  <c r="D64" i="24"/>
  <c r="B64" i="24"/>
  <c r="Z63" i="24"/>
  <c r="X63" i="24"/>
  <c r="V63" i="24"/>
  <c r="L63" i="24"/>
  <c r="N63" i="24" s="1"/>
  <c r="J63" i="24"/>
  <c r="B63" i="24"/>
  <c r="V62" i="24"/>
  <c r="T62" i="24"/>
  <c r="P62" i="24"/>
  <c r="X62" i="24" s="1"/>
  <c r="Z62" i="24" s="1"/>
  <c r="J62" i="24"/>
  <c r="H62" i="24"/>
  <c r="D62" i="24"/>
  <c r="L62" i="24" s="1"/>
  <c r="B62" i="24"/>
  <c r="Z61" i="24"/>
  <c r="X61" i="24"/>
  <c r="N61" i="24"/>
  <c r="L61" i="24"/>
  <c r="B61" i="24"/>
  <c r="Z60" i="24"/>
  <c r="X60" i="24"/>
  <c r="V60" i="24"/>
  <c r="N60" i="24"/>
  <c r="L60" i="24"/>
  <c r="B60" i="24"/>
  <c r="X59" i="24"/>
  <c r="Z59" i="24" s="1"/>
  <c r="V59" i="24"/>
  <c r="L59" i="24"/>
  <c r="N59" i="24" s="1"/>
  <c r="B59" i="24"/>
  <c r="Z58" i="24"/>
  <c r="X58" i="24"/>
  <c r="N58" i="24"/>
  <c r="L58" i="24"/>
  <c r="B58" i="24"/>
  <c r="Z57" i="24"/>
  <c r="X57" i="24"/>
  <c r="N57" i="24"/>
  <c r="L57" i="24"/>
  <c r="B57" i="24"/>
  <c r="X56" i="24"/>
  <c r="Z56" i="24" s="1"/>
  <c r="V56" i="24"/>
  <c r="N56" i="24"/>
  <c r="L56" i="24"/>
  <c r="B56" i="24"/>
  <c r="X55" i="24"/>
  <c r="Z55" i="24" s="1"/>
  <c r="V55" i="24"/>
  <c r="L55" i="24"/>
  <c r="N55" i="24" s="1"/>
  <c r="B55" i="24"/>
  <c r="Z54" i="24"/>
  <c r="X54" i="24"/>
  <c r="V54" i="24"/>
  <c r="N54" i="24"/>
  <c r="L54" i="24"/>
  <c r="B54" i="24"/>
  <c r="Z53" i="24"/>
  <c r="X53" i="24"/>
  <c r="V53" i="24"/>
  <c r="N53" i="24"/>
  <c r="L53" i="24"/>
  <c r="B53" i="24"/>
  <c r="X52" i="24"/>
  <c r="Z52" i="24" s="1"/>
  <c r="V52" i="24"/>
  <c r="N52" i="24"/>
  <c r="L52" i="24"/>
  <c r="B52" i="24"/>
  <c r="X51" i="24"/>
  <c r="V51" i="24"/>
  <c r="T51" i="24"/>
  <c r="Z51" i="24" s="1"/>
  <c r="P51" i="24"/>
  <c r="L51" i="24"/>
  <c r="H51" i="24"/>
  <c r="N51" i="24" s="1"/>
  <c r="D51" i="24"/>
  <c r="B51" i="24"/>
  <c r="Z50" i="24"/>
  <c r="X50" i="24"/>
  <c r="N50" i="24"/>
  <c r="L50" i="24"/>
  <c r="B50" i="24"/>
  <c r="Z49" i="24"/>
  <c r="X49" i="24"/>
  <c r="N49" i="24"/>
  <c r="L49" i="24"/>
  <c r="B49" i="24"/>
  <c r="Z48" i="24"/>
  <c r="X48" i="24"/>
  <c r="N48" i="24"/>
  <c r="L48" i="24"/>
  <c r="J48" i="24"/>
  <c r="B48" i="24"/>
  <c r="Z47" i="24"/>
  <c r="X47" i="24"/>
  <c r="N47" i="24"/>
  <c r="L47" i="24"/>
  <c r="J47" i="24"/>
  <c r="B47" i="24"/>
  <c r="Z46" i="24"/>
  <c r="X46" i="24"/>
  <c r="N46" i="24"/>
  <c r="L46" i="24"/>
  <c r="B46" i="24"/>
  <c r="Z45" i="24"/>
  <c r="X45" i="24"/>
  <c r="N45" i="24"/>
  <c r="L45" i="24"/>
  <c r="B45" i="24"/>
  <c r="Z44" i="24"/>
  <c r="X44" i="24"/>
  <c r="N44" i="24"/>
  <c r="L44" i="24"/>
  <c r="J44" i="24"/>
  <c r="B44" i="24"/>
  <c r="X43" i="24"/>
  <c r="Z43" i="24" s="1"/>
  <c r="N43" i="24"/>
  <c r="L43" i="24"/>
  <c r="J43" i="24"/>
  <c r="B43" i="24"/>
  <c r="Z42" i="24"/>
  <c r="X42" i="24"/>
  <c r="N42" i="24"/>
  <c r="L42" i="24"/>
  <c r="B42" i="24"/>
  <c r="T41" i="24"/>
  <c r="P41" i="24"/>
  <c r="H41" i="24"/>
  <c r="D41" i="24"/>
  <c r="B41" i="24"/>
  <c r="V40" i="24"/>
  <c r="T40" i="24"/>
  <c r="P40" i="24"/>
  <c r="X40" i="24" s="1"/>
  <c r="H40" i="24"/>
  <c r="D40" i="24"/>
  <c r="L40" i="24" s="1"/>
  <c r="N40" i="24" s="1"/>
  <c r="Z36" i="24"/>
  <c r="X36" i="24"/>
  <c r="V36" i="24"/>
  <c r="N36" i="24"/>
  <c r="L36" i="24"/>
  <c r="B36" i="24"/>
  <c r="Z35" i="24"/>
  <c r="X35" i="24"/>
  <c r="V35" i="24"/>
  <c r="N35" i="24"/>
  <c r="L35" i="24"/>
  <c r="J35" i="24"/>
  <c r="B35" i="24"/>
  <c r="Z34" i="24"/>
  <c r="X34" i="24"/>
  <c r="V34" i="24"/>
  <c r="N34" i="24"/>
  <c r="L34" i="24"/>
  <c r="B34" i="24"/>
  <c r="Z33" i="24"/>
  <c r="X33" i="24"/>
  <c r="V33" i="24"/>
  <c r="N33" i="24"/>
  <c r="L33" i="24"/>
  <c r="B33" i="24"/>
  <c r="Z32" i="24"/>
  <c r="X32" i="24"/>
  <c r="V32" i="24"/>
  <c r="N32" i="24"/>
  <c r="L32" i="24"/>
  <c r="B32" i="24"/>
  <c r="Z31" i="24"/>
  <c r="X31" i="24"/>
  <c r="V31" i="24"/>
  <c r="N31" i="24"/>
  <c r="L31" i="24"/>
  <c r="J31" i="24"/>
  <c r="B31" i="24"/>
  <c r="Z30" i="24"/>
  <c r="X30" i="24"/>
  <c r="V30" i="24"/>
  <c r="N30" i="24"/>
  <c r="L30" i="24"/>
  <c r="B30" i="24"/>
  <c r="Z29" i="24"/>
  <c r="X29" i="24"/>
  <c r="V29" i="24"/>
  <c r="L29" i="24"/>
  <c r="N29" i="24" s="1"/>
  <c r="B29" i="24"/>
  <c r="V28" i="24"/>
  <c r="T28" i="24"/>
  <c r="P28" i="24"/>
  <c r="X28" i="24" s="1"/>
  <c r="H28" i="24"/>
  <c r="N28" i="24" s="1"/>
  <c r="D28" i="24"/>
  <c r="L28" i="24" s="1"/>
  <c r="Z26" i="24"/>
  <c r="P26" i="24"/>
  <c r="X26" i="24" s="1"/>
  <c r="N26" i="24"/>
  <c r="D26" i="24"/>
  <c r="L26" i="24" s="1"/>
  <c r="B26" i="24"/>
  <c r="Z25" i="24"/>
  <c r="X25" i="24"/>
  <c r="P25" i="24"/>
  <c r="N25" i="24"/>
  <c r="L25" i="24"/>
  <c r="D25" i="24"/>
  <c r="B25" i="24"/>
  <c r="Z24" i="24"/>
  <c r="X24" i="24"/>
  <c r="P24" i="24"/>
  <c r="N24" i="24"/>
  <c r="L24" i="24"/>
  <c r="D24" i="24"/>
  <c r="B24" i="24"/>
  <c r="Z23" i="24"/>
  <c r="P23" i="24"/>
  <c r="X23" i="24" s="1"/>
  <c r="N23" i="24"/>
  <c r="D23" i="24"/>
  <c r="L23" i="24" s="1"/>
  <c r="B23" i="24"/>
  <c r="Z22" i="24"/>
  <c r="P22" i="24"/>
  <c r="X22" i="24" s="1"/>
  <c r="N22" i="24"/>
  <c r="L22" i="24"/>
  <c r="D22" i="24"/>
  <c r="B22" i="24"/>
  <c r="Z21" i="24"/>
  <c r="X21" i="24"/>
  <c r="P21" i="24"/>
  <c r="N21" i="24"/>
  <c r="L21" i="24"/>
  <c r="D21" i="24"/>
  <c r="B21" i="24"/>
  <c r="P20" i="24"/>
  <c r="X20" i="24" s="1"/>
  <c r="Z20" i="24" s="1"/>
  <c r="D20" i="24"/>
  <c r="L20" i="24" s="1"/>
  <c r="N20" i="24" s="1"/>
  <c r="B20" i="24"/>
  <c r="Z19" i="24"/>
  <c r="X19" i="24"/>
  <c r="P19" i="24"/>
  <c r="N19" i="24"/>
  <c r="D19" i="24"/>
  <c r="L19" i="24" s="1"/>
  <c r="B19" i="24"/>
  <c r="Z18" i="24"/>
  <c r="X18" i="24"/>
  <c r="P18" i="24"/>
  <c r="N18" i="24"/>
  <c r="L18" i="24"/>
  <c r="D18" i="24"/>
  <c r="B18" i="24"/>
  <c r="Z17" i="24"/>
  <c r="P17" i="24"/>
  <c r="X17" i="24" s="1"/>
  <c r="N17" i="24"/>
  <c r="D17" i="24"/>
  <c r="L17" i="24" s="1"/>
  <c r="B17" i="24"/>
  <c r="Z16" i="24"/>
  <c r="X16" i="24"/>
  <c r="P16" i="24"/>
  <c r="N16" i="24"/>
  <c r="L16" i="24"/>
  <c r="D16" i="24"/>
  <c r="B16" i="24"/>
  <c r="Z15" i="24"/>
  <c r="X15" i="24"/>
  <c r="P15" i="24"/>
  <c r="N15" i="24"/>
  <c r="L15" i="24"/>
  <c r="D15" i="24"/>
  <c r="B15" i="24"/>
  <c r="Z14" i="24"/>
  <c r="P14" i="24"/>
  <c r="X14" i="24" s="1"/>
  <c r="N14" i="24"/>
  <c r="D14" i="24"/>
  <c r="L14" i="24" s="1"/>
  <c r="B14" i="24"/>
  <c r="Z13" i="24"/>
  <c r="X13" i="24"/>
  <c r="P13" i="24"/>
  <c r="N13" i="24"/>
  <c r="L13" i="24"/>
  <c r="D13" i="24"/>
  <c r="B13" i="24"/>
  <c r="T12" i="24"/>
  <c r="V90" i="24" s="1"/>
  <c r="H12" i="24"/>
  <c r="D4" i="24"/>
  <c r="X111" i="21"/>
  <c r="Z111" i="21" s="1"/>
  <c r="L111" i="21"/>
  <c r="N111" i="21" s="1"/>
  <c r="Z107" i="21"/>
  <c r="T107" i="21"/>
  <c r="P107" i="21"/>
  <c r="X107" i="21" s="1"/>
  <c r="N107" i="21"/>
  <c r="H107" i="21"/>
  <c r="D107" i="21"/>
  <c r="L107" i="21" s="1"/>
  <c r="Z105" i="21"/>
  <c r="X105" i="21"/>
  <c r="L105" i="21"/>
  <c r="N105" i="21" s="1"/>
  <c r="J105" i="21"/>
  <c r="B105" i="21"/>
  <c r="T104" i="21"/>
  <c r="P104" i="21"/>
  <c r="X104" i="21" s="1"/>
  <c r="H104" i="21"/>
  <c r="D104" i="21"/>
  <c r="B104" i="21"/>
  <c r="X103" i="21"/>
  <c r="Z103" i="21" s="1"/>
  <c r="N103" i="21"/>
  <c r="L103" i="21"/>
  <c r="B103" i="21"/>
  <c r="T102" i="21"/>
  <c r="P102" i="21"/>
  <c r="X102" i="21" s="1"/>
  <c r="Z102" i="21" s="1"/>
  <c r="N102" i="21"/>
  <c r="H102" i="21"/>
  <c r="D102" i="21"/>
  <c r="L102" i="21" s="1"/>
  <c r="B102" i="21"/>
  <c r="X101" i="21"/>
  <c r="Z101" i="21" s="1"/>
  <c r="N101" i="21"/>
  <c r="L101" i="21"/>
  <c r="B101" i="21"/>
  <c r="X100" i="21"/>
  <c r="Z100" i="21" s="1"/>
  <c r="T100" i="21"/>
  <c r="P100" i="21"/>
  <c r="H100" i="21"/>
  <c r="N100" i="21" s="1"/>
  <c r="D100" i="21"/>
  <c r="B100" i="21"/>
  <c r="Z99" i="21"/>
  <c r="X99" i="21"/>
  <c r="L99" i="21"/>
  <c r="N99" i="21" s="1"/>
  <c r="B99" i="21"/>
  <c r="Z98" i="21"/>
  <c r="X98" i="21"/>
  <c r="V98" i="21"/>
  <c r="L98" i="21"/>
  <c r="N98" i="21" s="1"/>
  <c r="B98" i="21"/>
  <c r="T97" i="21"/>
  <c r="P97" i="21"/>
  <c r="X97" i="21" s="1"/>
  <c r="Z97" i="21" s="1"/>
  <c r="H97" i="21"/>
  <c r="D97" i="21"/>
  <c r="L97" i="21" s="1"/>
  <c r="N97" i="21" s="1"/>
  <c r="B97" i="21"/>
  <c r="X96" i="21"/>
  <c r="Z96" i="21" s="1"/>
  <c r="N96" i="21"/>
  <c r="L96" i="21"/>
  <c r="B96" i="21"/>
  <c r="X95" i="21"/>
  <c r="Z95" i="21" s="1"/>
  <c r="N95" i="21"/>
  <c r="L95" i="21"/>
  <c r="B95" i="21"/>
  <c r="X94" i="21"/>
  <c r="Z94" i="21" s="1"/>
  <c r="N94" i="21"/>
  <c r="L94" i="21"/>
  <c r="B94" i="21"/>
  <c r="Z93" i="21"/>
  <c r="X93" i="21"/>
  <c r="N93" i="21"/>
  <c r="L93" i="21"/>
  <c r="B93" i="21"/>
  <c r="X92" i="21"/>
  <c r="Z92" i="21" s="1"/>
  <c r="L92" i="21"/>
  <c r="N92" i="21" s="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T89" i="21"/>
  <c r="Z89" i="21" s="1"/>
  <c r="P89" i="21"/>
  <c r="L89" i="21"/>
  <c r="H89" i="21"/>
  <c r="N89" i="21" s="1"/>
  <c r="D89" i="21"/>
  <c r="B89" i="21"/>
  <c r="X88" i="21"/>
  <c r="Z88" i="21" s="1"/>
  <c r="N88" i="21"/>
  <c r="L88" i="21"/>
  <c r="B88" i="21"/>
  <c r="T87" i="21"/>
  <c r="P87" i="21"/>
  <c r="H87" i="21"/>
  <c r="D87" i="21"/>
  <c r="B87" i="21"/>
  <c r="Z86" i="21"/>
  <c r="X86" i="21"/>
  <c r="L86" i="21"/>
  <c r="N86" i="21" s="1"/>
  <c r="B86" i="21"/>
  <c r="Z85" i="21"/>
  <c r="X85" i="21"/>
  <c r="L85" i="21"/>
  <c r="N85" i="21" s="1"/>
  <c r="J85" i="21"/>
  <c r="B85" i="21"/>
  <c r="Z84" i="21"/>
  <c r="X84" i="21"/>
  <c r="L84" i="21"/>
  <c r="N84" i="21" s="1"/>
  <c r="B84" i="21"/>
  <c r="Z83" i="21"/>
  <c r="X83" i="21"/>
  <c r="N83" i="21"/>
  <c r="L83" i="21"/>
  <c r="B83" i="21"/>
  <c r="T82" i="21"/>
  <c r="P82" i="21"/>
  <c r="X82" i="21" s="1"/>
  <c r="H82" i="21"/>
  <c r="N82" i="21" s="1"/>
  <c r="D82" i="21"/>
  <c r="L82" i="21" s="1"/>
  <c r="B82" i="21"/>
  <c r="X81" i="21"/>
  <c r="Z81" i="21" s="1"/>
  <c r="L81" i="21"/>
  <c r="N81" i="21" s="1"/>
  <c r="B81" i="21"/>
  <c r="Z80" i="21"/>
  <c r="X80" i="21"/>
  <c r="N80" i="21"/>
  <c r="L80" i="21"/>
  <c r="B80" i="21"/>
  <c r="X79" i="21"/>
  <c r="T79" i="21"/>
  <c r="Z79" i="21" s="1"/>
  <c r="P79" i="21"/>
  <c r="L79" i="21"/>
  <c r="J79" i="21"/>
  <c r="H79" i="21"/>
  <c r="N79" i="21" s="1"/>
  <c r="D79" i="21"/>
  <c r="B79" i="21"/>
  <c r="Z78" i="21"/>
  <c r="X78" i="21"/>
  <c r="N78" i="21"/>
  <c r="L78" i="21"/>
  <c r="J78" i="21"/>
  <c r="B78" i="21"/>
  <c r="X77" i="21"/>
  <c r="Z77" i="21" s="1"/>
  <c r="N77" i="21"/>
  <c r="L77" i="21"/>
  <c r="B77" i="21"/>
  <c r="X76" i="21"/>
  <c r="Z76" i="21" s="1"/>
  <c r="N76" i="21"/>
  <c r="L76" i="21"/>
  <c r="B76" i="21"/>
  <c r="Z75" i="21"/>
  <c r="X75" i="21"/>
  <c r="N75" i="21"/>
  <c r="L75" i="21"/>
  <c r="B75" i="21"/>
  <c r="T74" i="21"/>
  <c r="P74" i="21"/>
  <c r="N74" i="21"/>
  <c r="L74" i="21"/>
  <c r="H74" i="21"/>
  <c r="D74" i="21"/>
  <c r="B74" i="21"/>
  <c r="Z73" i="21"/>
  <c r="X73" i="21"/>
  <c r="N73" i="21"/>
  <c r="L73" i="21"/>
  <c r="J73" i="21"/>
  <c r="B73" i="21"/>
  <c r="T72" i="21"/>
  <c r="Z72" i="21" s="1"/>
  <c r="P72" i="21"/>
  <c r="X72" i="21" s="1"/>
  <c r="J72" i="21"/>
  <c r="H72" i="21"/>
  <c r="N72" i="21" s="1"/>
  <c r="D72" i="21"/>
  <c r="L72" i="21" s="1"/>
  <c r="B72" i="21"/>
  <c r="X71" i="21"/>
  <c r="Z71" i="21" s="1"/>
  <c r="N71" i="21"/>
  <c r="L71" i="21"/>
  <c r="B71" i="21"/>
  <c r="T70" i="21"/>
  <c r="P70" i="21"/>
  <c r="X70" i="21" s="1"/>
  <c r="Z70" i="21" s="1"/>
  <c r="H70" i="21"/>
  <c r="D70" i="21"/>
  <c r="L70" i="21" s="1"/>
  <c r="N70" i="21" s="1"/>
  <c r="B70" i="21"/>
  <c r="X69" i="21"/>
  <c r="Z69" i="21" s="1"/>
  <c r="N69" i="21"/>
  <c r="L69" i="21"/>
  <c r="B69" i="21"/>
  <c r="X68" i="21"/>
  <c r="Z68" i="21" s="1"/>
  <c r="T68" i="21"/>
  <c r="P68" i="21"/>
  <c r="H68" i="21"/>
  <c r="D68" i="21"/>
  <c r="B68" i="21"/>
  <c r="Z67" i="21"/>
  <c r="X67" i="21"/>
  <c r="N67" i="21"/>
  <c r="L67" i="21"/>
  <c r="B67" i="21"/>
  <c r="T66" i="21"/>
  <c r="P66" i="21"/>
  <c r="H66" i="21"/>
  <c r="N66" i="21" s="1"/>
  <c r="D66" i="21"/>
  <c r="L66" i="21" s="1"/>
  <c r="B66" i="21"/>
  <c r="Z65" i="21"/>
  <c r="X65" i="21"/>
  <c r="V65" i="21"/>
  <c r="N65" i="21"/>
  <c r="L65" i="21"/>
  <c r="B65" i="21"/>
  <c r="Z64" i="21"/>
  <c r="T64" i="21"/>
  <c r="P64" i="21"/>
  <c r="X64" i="21" s="1"/>
  <c r="N64" i="21"/>
  <c r="H64" i="21"/>
  <c r="D64" i="21"/>
  <c r="L64" i="21" s="1"/>
  <c r="B64" i="21"/>
  <c r="Z63" i="21"/>
  <c r="X63" i="21"/>
  <c r="N63" i="21"/>
  <c r="L63" i="21"/>
  <c r="B63" i="21"/>
  <c r="T62" i="21"/>
  <c r="P62" i="21"/>
  <c r="N62" i="21"/>
  <c r="L62" i="21"/>
  <c r="H62" i="21"/>
  <c r="D62" i="21"/>
  <c r="B62" i="21"/>
  <c r="Z61" i="21"/>
  <c r="X61" i="21"/>
  <c r="L61" i="21"/>
  <c r="N61" i="21" s="1"/>
  <c r="J61" i="21"/>
  <c r="B61" i="21"/>
  <c r="T60" i="21"/>
  <c r="P60" i="21"/>
  <c r="X60" i="21" s="1"/>
  <c r="J60" i="21"/>
  <c r="H60" i="21"/>
  <c r="D60" i="21"/>
  <c r="L60" i="21" s="1"/>
  <c r="B60" i="21"/>
  <c r="X59" i="21"/>
  <c r="Z59" i="21" s="1"/>
  <c r="N59" i="21"/>
  <c r="L59" i="21"/>
  <c r="B59" i="21"/>
  <c r="Z58" i="21"/>
  <c r="X58" i="21"/>
  <c r="N58" i="21"/>
  <c r="L58" i="21"/>
  <c r="B58" i="21"/>
  <c r="X57" i="21"/>
  <c r="V57" i="21"/>
  <c r="T57" i="21"/>
  <c r="P57" i="21"/>
  <c r="L57" i="21"/>
  <c r="H57" i="21"/>
  <c r="N57" i="21" s="1"/>
  <c r="D57" i="21"/>
  <c r="B57" i="21"/>
  <c r="X56" i="21"/>
  <c r="Z56" i="21" s="1"/>
  <c r="N56" i="21"/>
  <c r="L56" i="21"/>
  <c r="J56" i="21"/>
  <c r="B56" i="21"/>
  <c r="T55" i="21"/>
  <c r="P55" i="21"/>
  <c r="H55" i="21"/>
  <c r="D55" i="21"/>
  <c r="B55" i="21"/>
  <c r="Z54" i="21"/>
  <c r="X54" i="21"/>
  <c r="L54" i="21"/>
  <c r="N54" i="21" s="1"/>
  <c r="B54" i="21"/>
  <c r="T53" i="21"/>
  <c r="P53" i="21"/>
  <c r="X53" i="21" s="1"/>
  <c r="Z53" i="21" s="1"/>
  <c r="H53" i="21"/>
  <c r="D53" i="21"/>
  <c r="L53" i="21" s="1"/>
  <c r="N53" i="21" s="1"/>
  <c r="B53" i="21"/>
  <c r="X52" i="21"/>
  <c r="Z52" i="21" s="1"/>
  <c r="N52" i="21"/>
  <c r="L52" i="21"/>
  <c r="B52" i="21"/>
  <c r="X51" i="21"/>
  <c r="T51" i="21"/>
  <c r="Z51" i="21" s="1"/>
  <c r="P51" i="21"/>
  <c r="L51" i="21"/>
  <c r="J51" i="21"/>
  <c r="H51" i="21"/>
  <c r="N51" i="21" s="1"/>
  <c r="D51" i="21"/>
  <c r="B51" i="21"/>
  <c r="Z50" i="21"/>
  <c r="X50" i="21"/>
  <c r="N50" i="21"/>
  <c r="L50" i="21"/>
  <c r="J50" i="21"/>
  <c r="B50" i="21"/>
  <c r="Z49" i="21"/>
  <c r="X49" i="21"/>
  <c r="N49" i="21"/>
  <c r="L49" i="21"/>
  <c r="J49" i="21"/>
  <c r="B49" i="21"/>
  <c r="Z48" i="21"/>
  <c r="X48" i="21"/>
  <c r="N48" i="21"/>
  <c r="L48" i="21"/>
  <c r="J48" i="21"/>
  <c r="B48" i="21"/>
  <c r="Z47" i="21"/>
  <c r="X47" i="21"/>
  <c r="N47" i="21"/>
  <c r="L47" i="21"/>
  <c r="B47" i="21"/>
  <c r="Z46" i="21"/>
  <c r="X46" i="21"/>
  <c r="N46" i="21"/>
  <c r="L46" i="21"/>
  <c r="J46" i="21"/>
  <c r="B46" i="21"/>
  <c r="X45" i="21"/>
  <c r="Z45" i="21" s="1"/>
  <c r="N45" i="21"/>
  <c r="L45" i="21"/>
  <c r="J45" i="21"/>
  <c r="B45" i="21"/>
  <c r="X44" i="21"/>
  <c r="Z44" i="21" s="1"/>
  <c r="N44" i="21"/>
  <c r="L44" i="21"/>
  <c r="J44" i="21"/>
  <c r="B44" i="21"/>
  <c r="Z43" i="21"/>
  <c r="X43" i="21"/>
  <c r="N43" i="21"/>
  <c r="L43" i="21"/>
  <c r="B43" i="21"/>
  <c r="Z42" i="21"/>
  <c r="X42" i="21"/>
  <c r="N42" i="21"/>
  <c r="L42" i="21"/>
  <c r="J42" i="21"/>
  <c r="B42" i="21"/>
  <c r="X41" i="21"/>
  <c r="Z41" i="21" s="1"/>
  <c r="N41" i="21"/>
  <c r="L41" i="21"/>
  <c r="J41" i="21"/>
  <c r="B41" i="21"/>
  <c r="X40" i="21"/>
  <c r="Z40" i="21" s="1"/>
  <c r="T40" i="21"/>
  <c r="P40" i="21"/>
  <c r="H40" i="21"/>
  <c r="L40" i="21" s="1"/>
  <c r="N40" i="21" s="1"/>
  <c r="D40" i="21"/>
  <c r="B40" i="21"/>
  <c r="Z39" i="21"/>
  <c r="X39" i="21"/>
  <c r="L39" i="21"/>
  <c r="N39" i="21" s="1"/>
  <c r="B39" i="21"/>
  <c r="Z38" i="21"/>
  <c r="X38" i="21"/>
  <c r="L38" i="21"/>
  <c r="N38" i="21" s="1"/>
  <c r="B38" i="21"/>
  <c r="Z37" i="21"/>
  <c r="X37" i="21"/>
  <c r="L37" i="21"/>
  <c r="N37" i="21" s="1"/>
  <c r="J37" i="21"/>
  <c r="B37" i="21"/>
  <c r="Z36" i="21"/>
  <c r="X36" i="21"/>
  <c r="N36" i="21"/>
  <c r="L36" i="21"/>
  <c r="B36" i="21"/>
  <c r="Z35" i="21"/>
  <c r="X35" i="21"/>
  <c r="L35" i="21"/>
  <c r="N35" i="21" s="1"/>
  <c r="B35" i="21"/>
  <c r="Z34" i="21"/>
  <c r="X34" i="21"/>
  <c r="V34" i="21"/>
  <c r="R34" i="21"/>
  <c r="L34" i="21"/>
  <c r="N34" i="21" s="1"/>
  <c r="B34" i="21"/>
  <c r="Z33" i="21"/>
  <c r="X33" i="21"/>
  <c r="V33" i="21"/>
  <c r="L33" i="21"/>
  <c r="N33" i="21" s="1"/>
  <c r="J33" i="21"/>
  <c r="B33" i="21"/>
  <c r="Z32" i="21"/>
  <c r="X32" i="21"/>
  <c r="V32" i="21"/>
  <c r="L32" i="21"/>
  <c r="N32" i="21" s="1"/>
  <c r="B32" i="21"/>
  <c r="Z31" i="21"/>
  <c r="X31" i="21"/>
  <c r="L31" i="21"/>
  <c r="N31" i="21" s="1"/>
  <c r="B31" i="21"/>
  <c r="T30" i="21"/>
  <c r="P30" i="21"/>
  <c r="X30" i="21" s="1"/>
  <c r="J30" i="21"/>
  <c r="H30" i="21"/>
  <c r="D30" i="21"/>
  <c r="L30" i="21" s="1"/>
  <c r="N30" i="21" s="1"/>
  <c r="B30" i="21"/>
  <c r="X29" i="21"/>
  <c r="T29" i="21"/>
  <c r="Z29" i="21" s="1"/>
  <c r="P29" i="21"/>
  <c r="L29" i="21"/>
  <c r="H29" i="21"/>
  <c r="D29" i="21"/>
  <c r="Z25" i="21"/>
  <c r="X25" i="21"/>
  <c r="N25" i="21"/>
  <c r="L25" i="21"/>
  <c r="B25" i="21"/>
  <c r="Z24" i="21"/>
  <c r="X24" i="21"/>
  <c r="N24" i="21"/>
  <c r="L24" i="21"/>
  <c r="B24" i="21"/>
  <c r="X23" i="21"/>
  <c r="Z23" i="21" s="1"/>
  <c r="N23" i="21"/>
  <c r="L23" i="21"/>
  <c r="B23" i="21"/>
  <c r="T22" i="21"/>
  <c r="P22" i="21"/>
  <c r="X22" i="21" s="1"/>
  <c r="Z22" i="21" s="1"/>
  <c r="H22" i="21"/>
  <c r="D22" i="21"/>
  <c r="L22" i="21" s="1"/>
  <c r="N22" i="21" s="1"/>
  <c r="Z20" i="21"/>
  <c r="P20" i="21"/>
  <c r="X20" i="21" s="1"/>
  <c r="N20" i="21"/>
  <c r="L20" i="21"/>
  <c r="D20" i="21"/>
  <c r="B20" i="21"/>
  <c r="Z19" i="21"/>
  <c r="X19" i="21"/>
  <c r="P19" i="21"/>
  <c r="N19" i="21"/>
  <c r="L19" i="21"/>
  <c r="D19" i="21"/>
  <c r="B19" i="21"/>
  <c r="Z18" i="21"/>
  <c r="P18" i="21"/>
  <c r="X18" i="21" s="1"/>
  <c r="N18" i="21"/>
  <c r="D18" i="21"/>
  <c r="L18" i="21" s="1"/>
  <c r="B18" i="21"/>
  <c r="Z17" i="21"/>
  <c r="X17" i="21"/>
  <c r="P17" i="21"/>
  <c r="N17" i="21"/>
  <c r="D17" i="21"/>
  <c r="L17" i="21" s="1"/>
  <c r="B17" i="21"/>
  <c r="Z16" i="21"/>
  <c r="X16" i="21"/>
  <c r="P16" i="21"/>
  <c r="N16" i="21"/>
  <c r="L16" i="21"/>
  <c r="D16" i="21"/>
  <c r="B16" i="21"/>
  <c r="Z15" i="21"/>
  <c r="X15" i="21"/>
  <c r="P15" i="21"/>
  <c r="N15" i="21"/>
  <c r="D15" i="21"/>
  <c r="L15" i="21" s="1"/>
  <c r="B15" i="21"/>
  <c r="Z14" i="21"/>
  <c r="X14" i="21"/>
  <c r="P14" i="21"/>
  <c r="N14" i="21"/>
  <c r="D14" i="21"/>
  <c r="L14" i="21" s="1"/>
  <c r="B14" i="21"/>
  <c r="X13" i="21"/>
  <c r="Z13" i="21" s="1"/>
  <c r="P13" i="21"/>
  <c r="N13" i="21"/>
  <c r="L13" i="21"/>
  <c r="D13" i="21"/>
  <c r="B13" i="21"/>
  <c r="T12" i="21"/>
  <c r="V81" i="21" s="1"/>
  <c r="P12" i="21"/>
  <c r="R47" i="21" s="1"/>
  <c r="H12" i="21"/>
  <c r="J96" i="21" s="1"/>
  <c r="D4" i="21"/>
  <c r="Z255" i="18"/>
  <c r="X255" i="18"/>
  <c r="N255" i="18"/>
  <c r="L255" i="18"/>
  <c r="Z251" i="18"/>
  <c r="P251" i="18"/>
  <c r="X251" i="18" s="1"/>
  <c r="N251" i="18"/>
  <c r="D251" i="18"/>
  <c r="L251" i="18" s="1"/>
  <c r="B251" i="18"/>
  <c r="Z250" i="18"/>
  <c r="P250" i="18"/>
  <c r="X250" i="18" s="1"/>
  <c r="N250" i="18"/>
  <c r="D250" i="18"/>
  <c r="L250" i="18" s="1"/>
  <c r="B250" i="18"/>
  <c r="X249" i="18"/>
  <c r="Z249" i="18" s="1"/>
  <c r="P249" i="18"/>
  <c r="L249" i="18"/>
  <c r="N249" i="18" s="1"/>
  <c r="D249" i="18"/>
  <c r="B249" i="18"/>
  <c r="P248" i="18"/>
  <c r="X248" i="18" s="1"/>
  <c r="Z248" i="18" s="1"/>
  <c r="N248" i="18"/>
  <c r="L248" i="18"/>
  <c r="D248" i="18"/>
  <c r="B248" i="18"/>
  <c r="Z247" i="18"/>
  <c r="X247" i="18"/>
  <c r="P247" i="18"/>
  <c r="N247" i="18"/>
  <c r="D247" i="18"/>
  <c r="L247" i="18" s="1"/>
  <c r="B247" i="18"/>
  <c r="Z246" i="18"/>
  <c r="P246" i="18"/>
  <c r="X246" i="18" s="1"/>
  <c r="N246" i="18"/>
  <c r="D246" i="18"/>
  <c r="L246" i="18" s="1"/>
  <c r="B246" i="18"/>
  <c r="T245" i="18"/>
  <c r="P245" i="18"/>
  <c r="X245" i="18" s="1"/>
  <c r="H245" i="18"/>
  <c r="D245" i="18"/>
  <c r="L245" i="18" s="1"/>
  <c r="X243" i="18"/>
  <c r="Z243" i="18" s="1"/>
  <c r="L243" i="18"/>
  <c r="N243" i="18" s="1"/>
  <c r="B243" i="18"/>
  <c r="X242" i="18"/>
  <c r="Z242" i="18" s="1"/>
  <c r="T242" i="18"/>
  <c r="P242" i="18"/>
  <c r="H242" i="18"/>
  <c r="D242" i="18"/>
  <c r="L242" i="18" s="1"/>
  <c r="N242" i="18" s="1"/>
  <c r="B242" i="18"/>
  <c r="Z241" i="18"/>
  <c r="X241" i="18"/>
  <c r="N241" i="18"/>
  <c r="L241" i="18"/>
  <c r="B241" i="18"/>
  <c r="Z240" i="18"/>
  <c r="X240" i="18"/>
  <c r="N240" i="18"/>
  <c r="L240" i="18"/>
  <c r="B240" i="18"/>
  <c r="Z239" i="18"/>
  <c r="X239" i="18"/>
  <c r="N239" i="18"/>
  <c r="L239" i="18"/>
  <c r="B239" i="18"/>
  <c r="X238" i="18"/>
  <c r="Z238" i="18" s="1"/>
  <c r="T238" i="18"/>
  <c r="P238" i="18"/>
  <c r="N238" i="18"/>
  <c r="H238" i="18"/>
  <c r="L238" i="18" s="1"/>
  <c r="D238" i="18"/>
  <c r="B238" i="18"/>
  <c r="Z237" i="18"/>
  <c r="X237" i="18"/>
  <c r="N237" i="18"/>
  <c r="L237" i="18"/>
  <c r="B237" i="18"/>
  <c r="Z236" i="18"/>
  <c r="V236" i="18"/>
  <c r="T236" i="18"/>
  <c r="P236" i="18"/>
  <c r="X236" i="18" s="1"/>
  <c r="N236" i="18"/>
  <c r="H236" i="18"/>
  <c r="D236" i="18"/>
  <c r="L236" i="18" s="1"/>
  <c r="B236" i="18"/>
  <c r="X235" i="18"/>
  <c r="Z235" i="18" s="1"/>
  <c r="L235" i="18"/>
  <c r="N235" i="18" s="1"/>
  <c r="B235" i="18"/>
  <c r="X234" i="18"/>
  <c r="Z234" i="18" s="1"/>
  <c r="L234" i="18"/>
  <c r="N234" i="18" s="1"/>
  <c r="B234" i="18"/>
  <c r="T233" i="18"/>
  <c r="P233" i="18"/>
  <c r="X233" i="18" s="1"/>
  <c r="L233" i="18"/>
  <c r="H233" i="18"/>
  <c r="N233" i="18" s="1"/>
  <c r="D233" i="18"/>
  <c r="B233" i="18"/>
  <c r="Z232" i="18"/>
  <c r="X232" i="18"/>
  <c r="N232" i="18"/>
  <c r="L232" i="18"/>
  <c r="B232" i="18"/>
  <c r="X231" i="18"/>
  <c r="Z231" i="18" s="1"/>
  <c r="N231" i="18"/>
  <c r="L231" i="18"/>
  <c r="B231" i="18"/>
  <c r="X230" i="18"/>
  <c r="Z230" i="18" s="1"/>
  <c r="N230" i="18"/>
  <c r="L230" i="18"/>
  <c r="B230" i="18"/>
  <c r="Z229" i="18"/>
  <c r="X229" i="18"/>
  <c r="N229" i="18"/>
  <c r="L229" i="18"/>
  <c r="B229" i="18"/>
  <c r="Z228" i="18"/>
  <c r="X228" i="18"/>
  <c r="N228" i="18"/>
  <c r="L228" i="18"/>
  <c r="J228" i="18"/>
  <c r="B228" i="18"/>
  <c r="X227" i="18"/>
  <c r="Z227" i="18" s="1"/>
  <c r="N227" i="18"/>
  <c r="L227" i="18"/>
  <c r="B227" i="18"/>
  <c r="X226" i="18"/>
  <c r="Z226" i="18" s="1"/>
  <c r="N226" i="18"/>
  <c r="L226" i="18"/>
  <c r="B226" i="18"/>
  <c r="X225" i="18"/>
  <c r="Z225" i="18" s="1"/>
  <c r="N225" i="18"/>
  <c r="L225" i="18"/>
  <c r="B225" i="18"/>
  <c r="Z224" i="18"/>
  <c r="X224" i="18"/>
  <c r="N224" i="18"/>
  <c r="L224" i="18"/>
  <c r="B224" i="18"/>
  <c r="T223" i="18"/>
  <c r="P223" i="18"/>
  <c r="H223" i="18"/>
  <c r="D223" i="18"/>
  <c r="B223" i="18"/>
  <c r="Z222" i="18"/>
  <c r="X222" i="18"/>
  <c r="L222" i="18"/>
  <c r="N222" i="18" s="1"/>
  <c r="B222" i="18"/>
  <c r="Z221" i="18"/>
  <c r="X221" i="18"/>
  <c r="L221" i="18"/>
  <c r="N221" i="18" s="1"/>
  <c r="B221" i="18"/>
  <c r="T220" i="18"/>
  <c r="P220" i="18"/>
  <c r="H220" i="18"/>
  <c r="D220" i="18"/>
  <c r="L220" i="18" s="1"/>
  <c r="N220" i="18" s="1"/>
  <c r="B220" i="18"/>
  <c r="X219" i="18"/>
  <c r="Z219" i="18" s="1"/>
  <c r="L219" i="18"/>
  <c r="N219" i="18" s="1"/>
  <c r="B219" i="18"/>
  <c r="X218" i="18"/>
  <c r="Z218" i="18" s="1"/>
  <c r="L218" i="18"/>
  <c r="N218" i="18" s="1"/>
  <c r="B218" i="18"/>
  <c r="Z217" i="18"/>
  <c r="X217" i="18"/>
  <c r="N217" i="18"/>
  <c r="L217" i="18"/>
  <c r="B217" i="18"/>
  <c r="Z216" i="18"/>
  <c r="X216" i="18"/>
  <c r="N216" i="18"/>
  <c r="L216" i="18"/>
  <c r="B216" i="18"/>
  <c r="X215" i="18"/>
  <c r="V215" i="18"/>
  <c r="T215" i="18"/>
  <c r="P215" i="18"/>
  <c r="L215" i="18"/>
  <c r="H215" i="18"/>
  <c r="N215" i="18" s="1"/>
  <c r="D215" i="18"/>
  <c r="B215" i="18"/>
  <c r="Z214" i="18"/>
  <c r="X214" i="18"/>
  <c r="N214" i="18"/>
  <c r="L214" i="18"/>
  <c r="J214" i="18"/>
  <c r="B214" i="18"/>
  <c r="X213" i="18"/>
  <c r="Z213" i="18" s="1"/>
  <c r="N213" i="18"/>
  <c r="L213" i="18"/>
  <c r="B213" i="18"/>
  <c r="Z212" i="18"/>
  <c r="X212" i="18"/>
  <c r="N212" i="18"/>
  <c r="L212" i="18"/>
  <c r="B212" i="18"/>
  <c r="X211" i="18"/>
  <c r="Z211" i="18" s="1"/>
  <c r="N211" i="18"/>
  <c r="L211" i="18"/>
  <c r="B211" i="18"/>
  <c r="Z210" i="18"/>
  <c r="X210" i="18"/>
  <c r="T210" i="18"/>
  <c r="P210" i="18"/>
  <c r="N210" i="18"/>
  <c r="H210" i="18"/>
  <c r="L210" i="18" s="1"/>
  <c r="D210" i="18"/>
  <c r="B210" i="18"/>
  <c r="Z209" i="18"/>
  <c r="X209" i="18"/>
  <c r="L209" i="18"/>
  <c r="N209" i="18" s="1"/>
  <c r="B209" i="18"/>
  <c r="Z208" i="18"/>
  <c r="X208" i="18"/>
  <c r="N208" i="18"/>
  <c r="L208" i="18"/>
  <c r="B208" i="18"/>
  <c r="Z207" i="18"/>
  <c r="X207" i="18"/>
  <c r="N207" i="18"/>
  <c r="L207" i="18"/>
  <c r="B207" i="18"/>
  <c r="Z206" i="18"/>
  <c r="X206" i="18"/>
  <c r="N206" i="18"/>
  <c r="L206" i="18"/>
  <c r="J206" i="18"/>
  <c r="B206" i="18"/>
  <c r="T205" i="18"/>
  <c r="Z205" i="18" s="1"/>
  <c r="P205" i="18"/>
  <c r="X205" i="18" s="1"/>
  <c r="H205" i="18"/>
  <c r="D205" i="18"/>
  <c r="L205" i="18" s="1"/>
  <c r="B205" i="18"/>
  <c r="Z204" i="18"/>
  <c r="X204" i="18"/>
  <c r="N204" i="18"/>
  <c r="L204" i="18"/>
  <c r="B204" i="18"/>
  <c r="X203" i="18"/>
  <c r="T203" i="18"/>
  <c r="P203" i="18"/>
  <c r="L203" i="18"/>
  <c r="H203" i="18"/>
  <c r="D203" i="18"/>
  <c r="B203" i="18"/>
  <c r="X202" i="18"/>
  <c r="Z202" i="18" s="1"/>
  <c r="N202" i="18"/>
  <c r="L202" i="18"/>
  <c r="B202" i="18"/>
  <c r="X201" i="18"/>
  <c r="T201" i="18"/>
  <c r="Z201" i="18" s="1"/>
  <c r="P201" i="18"/>
  <c r="L201" i="18"/>
  <c r="H201" i="18"/>
  <c r="D201" i="18"/>
  <c r="B201" i="18"/>
  <c r="Z200" i="18"/>
  <c r="X200" i="18"/>
  <c r="N200" i="18"/>
  <c r="L200" i="18"/>
  <c r="B200" i="18"/>
  <c r="Z199" i="18"/>
  <c r="X199" i="18"/>
  <c r="L199" i="18"/>
  <c r="N199" i="18" s="1"/>
  <c r="B199" i="18"/>
  <c r="T198" i="18"/>
  <c r="P198" i="18"/>
  <c r="X198" i="18" s="1"/>
  <c r="Z198" i="18" s="1"/>
  <c r="N198" i="18"/>
  <c r="J198" i="18"/>
  <c r="H198" i="18"/>
  <c r="D198" i="18"/>
  <c r="L198" i="18" s="1"/>
  <c r="B198" i="18"/>
  <c r="X197" i="18"/>
  <c r="Z197" i="18" s="1"/>
  <c r="N197" i="18"/>
  <c r="L197" i="18"/>
  <c r="B197" i="18"/>
  <c r="T196" i="18"/>
  <c r="P196" i="18"/>
  <c r="X196" i="18" s="1"/>
  <c r="Z196" i="18" s="1"/>
  <c r="H196" i="18"/>
  <c r="D196" i="18"/>
  <c r="L196" i="18" s="1"/>
  <c r="N196" i="18" s="1"/>
  <c r="B196" i="18"/>
  <c r="X195" i="18"/>
  <c r="Z195" i="18" s="1"/>
  <c r="N195" i="18"/>
  <c r="L195" i="18"/>
  <c r="B195" i="18"/>
  <c r="X194" i="18"/>
  <c r="Z194" i="18" s="1"/>
  <c r="N194" i="18"/>
  <c r="L194" i="18"/>
  <c r="B194" i="18"/>
  <c r="Z193" i="18"/>
  <c r="X193" i="18"/>
  <c r="N193" i="18"/>
  <c r="L193" i="18"/>
  <c r="B193" i="18"/>
  <c r="T192" i="18"/>
  <c r="X192" i="18" s="1"/>
  <c r="P192" i="18"/>
  <c r="L192" i="18"/>
  <c r="N192" i="18" s="1"/>
  <c r="H192" i="18"/>
  <c r="D192" i="18"/>
  <c r="B192" i="18"/>
  <c r="Z191" i="18"/>
  <c r="X191" i="18"/>
  <c r="L191" i="18"/>
  <c r="N191" i="18" s="1"/>
  <c r="B191" i="18"/>
  <c r="Z190" i="18"/>
  <c r="X190" i="18"/>
  <c r="L190" i="18"/>
  <c r="N190" i="18" s="1"/>
  <c r="J190" i="18"/>
  <c r="B190" i="18"/>
  <c r="T189" i="18"/>
  <c r="Z189" i="18" s="1"/>
  <c r="P189" i="18"/>
  <c r="X189" i="18" s="1"/>
  <c r="H189" i="18"/>
  <c r="D189" i="18"/>
  <c r="L189" i="18" s="1"/>
  <c r="B189" i="18"/>
  <c r="X188" i="18"/>
  <c r="Z188" i="18" s="1"/>
  <c r="N188" i="18"/>
  <c r="L188" i="18"/>
  <c r="B188" i="18"/>
  <c r="X187" i="18"/>
  <c r="T187" i="18"/>
  <c r="Z187" i="18" s="1"/>
  <c r="P187" i="18"/>
  <c r="H187" i="18"/>
  <c r="D187" i="18"/>
  <c r="L187" i="18" s="1"/>
  <c r="B187" i="18"/>
  <c r="Z186" i="18"/>
  <c r="X186" i="18"/>
  <c r="N186" i="18"/>
  <c r="L186" i="18"/>
  <c r="B186" i="18"/>
  <c r="T185" i="18"/>
  <c r="P185" i="18"/>
  <c r="H185" i="18"/>
  <c r="D185" i="18"/>
  <c r="B185" i="18"/>
  <c r="Z184" i="18"/>
  <c r="X184" i="18"/>
  <c r="L184" i="18"/>
  <c r="N184" i="18" s="1"/>
  <c r="B184" i="18"/>
  <c r="Z183" i="18"/>
  <c r="X183" i="18"/>
  <c r="V183" i="18"/>
  <c r="N183" i="18"/>
  <c r="L183" i="18"/>
  <c r="B183" i="18"/>
  <c r="T182" i="18"/>
  <c r="P182" i="18"/>
  <c r="X182" i="18" s="1"/>
  <c r="Z182" i="18" s="1"/>
  <c r="H182" i="18"/>
  <c r="D182" i="18"/>
  <c r="B182" i="18"/>
  <c r="Z181" i="18"/>
  <c r="X181" i="18"/>
  <c r="N181" i="18"/>
  <c r="L181" i="18"/>
  <c r="B181" i="18"/>
  <c r="X180" i="18"/>
  <c r="Z180" i="18" s="1"/>
  <c r="N180" i="18"/>
  <c r="L180" i="18"/>
  <c r="B180" i="18"/>
  <c r="X179" i="18"/>
  <c r="T179" i="18"/>
  <c r="Z179" i="18" s="1"/>
  <c r="P179" i="18"/>
  <c r="H179" i="18"/>
  <c r="D179" i="18"/>
  <c r="L179" i="18" s="1"/>
  <c r="B179" i="18"/>
  <c r="Z178" i="18"/>
  <c r="X178" i="18"/>
  <c r="N178" i="18"/>
  <c r="L178" i="18"/>
  <c r="B178" i="18"/>
  <c r="Z177" i="18"/>
  <c r="X177" i="18"/>
  <c r="N177" i="18"/>
  <c r="L177" i="18"/>
  <c r="B177" i="18"/>
  <c r="T176" i="18"/>
  <c r="X176" i="18" s="1"/>
  <c r="P176" i="18"/>
  <c r="N176" i="18"/>
  <c r="L176" i="18"/>
  <c r="H176" i="18"/>
  <c r="D176" i="18"/>
  <c r="B176" i="18"/>
  <c r="X175" i="18"/>
  <c r="Z175" i="18" s="1"/>
  <c r="V175" i="18"/>
  <c r="L175" i="18"/>
  <c r="N175" i="18" s="1"/>
  <c r="B175" i="18"/>
  <c r="T174" i="18"/>
  <c r="P174" i="18"/>
  <c r="X174" i="18" s="1"/>
  <c r="Z174" i="18" s="1"/>
  <c r="H174" i="18"/>
  <c r="N174" i="18" s="1"/>
  <c r="D174" i="18"/>
  <c r="L174" i="18" s="1"/>
  <c r="B174" i="18"/>
  <c r="X173" i="18"/>
  <c r="Z173" i="18" s="1"/>
  <c r="L173" i="18"/>
  <c r="N173" i="18" s="1"/>
  <c r="B173" i="18"/>
  <c r="X172" i="18"/>
  <c r="Z172" i="18" s="1"/>
  <c r="N172" i="18"/>
  <c r="L172" i="18"/>
  <c r="B172" i="18"/>
  <c r="T171" i="18"/>
  <c r="P171" i="18"/>
  <c r="X171" i="18" s="1"/>
  <c r="H171" i="18"/>
  <c r="D171" i="18"/>
  <c r="L171" i="18" s="1"/>
  <c r="B171" i="18"/>
  <c r="X170" i="18"/>
  <c r="Z170" i="18" s="1"/>
  <c r="N170" i="18"/>
  <c r="L170" i="18"/>
  <c r="B170" i="18"/>
  <c r="X169" i="18"/>
  <c r="Z169" i="18" s="1"/>
  <c r="T169" i="18"/>
  <c r="P169" i="18"/>
  <c r="L169" i="18"/>
  <c r="H169" i="18"/>
  <c r="D169" i="18"/>
  <c r="B169" i="18"/>
  <c r="Z168" i="18"/>
  <c r="X168" i="18"/>
  <c r="N168" i="18"/>
  <c r="L168" i="18"/>
  <c r="B168" i="18"/>
  <c r="Z167" i="18"/>
  <c r="X167" i="18"/>
  <c r="N167" i="18"/>
  <c r="L167" i="18"/>
  <c r="B167" i="18"/>
  <c r="Z166" i="18"/>
  <c r="X166" i="18"/>
  <c r="L166" i="18"/>
  <c r="N166" i="18" s="1"/>
  <c r="B166" i="18"/>
  <c r="Z165" i="18"/>
  <c r="X165" i="18"/>
  <c r="N165" i="18"/>
  <c r="L165" i="18"/>
  <c r="B165" i="18"/>
  <c r="Z164" i="18"/>
  <c r="X164" i="18"/>
  <c r="N164" i="18"/>
  <c r="L164" i="18"/>
  <c r="B164" i="18"/>
  <c r="X163" i="18"/>
  <c r="Z163" i="18" s="1"/>
  <c r="L163" i="18"/>
  <c r="N163" i="18" s="1"/>
  <c r="B163" i="18"/>
  <c r="Z162" i="18"/>
  <c r="X162" i="18"/>
  <c r="L162" i="18"/>
  <c r="N162" i="18" s="1"/>
  <c r="B162" i="18"/>
  <c r="Z161" i="18"/>
  <c r="X161" i="18"/>
  <c r="N161" i="18"/>
  <c r="L161" i="18"/>
  <c r="B161" i="18"/>
  <c r="Z160" i="18"/>
  <c r="X160" i="18"/>
  <c r="L160" i="18"/>
  <c r="N160" i="18" s="1"/>
  <c r="B160" i="18"/>
  <c r="X159" i="18"/>
  <c r="Z159" i="18" s="1"/>
  <c r="L159" i="18"/>
  <c r="N159" i="18" s="1"/>
  <c r="B159" i="18"/>
  <c r="T158" i="18"/>
  <c r="P158" i="18"/>
  <c r="X158" i="18" s="1"/>
  <c r="Z158" i="18" s="1"/>
  <c r="H158" i="18"/>
  <c r="N158" i="18" s="1"/>
  <c r="D158" i="18"/>
  <c r="L158" i="18" s="1"/>
  <c r="B158" i="18"/>
  <c r="X157" i="18"/>
  <c r="Z157" i="18" s="1"/>
  <c r="L157" i="18"/>
  <c r="N157" i="18" s="1"/>
  <c r="B157" i="18"/>
  <c r="X156" i="18"/>
  <c r="Z156" i="18" s="1"/>
  <c r="V156" i="18"/>
  <c r="N156" i="18"/>
  <c r="L156" i="18"/>
  <c r="B156" i="18"/>
  <c r="X155" i="18"/>
  <c r="Z155" i="18" s="1"/>
  <c r="L155" i="18"/>
  <c r="N155" i="18" s="1"/>
  <c r="B155" i="18"/>
  <c r="Z154" i="18"/>
  <c r="X154" i="18"/>
  <c r="N154" i="18"/>
  <c r="L154" i="18"/>
  <c r="B154" i="18"/>
  <c r="Z153" i="18"/>
  <c r="X153" i="18"/>
  <c r="N153" i="18"/>
  <c r="L153" i="18"/>
  <c r="B153" i="18"/>
  <c r="X152" i="18"/>
  <c r="Z152" i="18" s="1"/>
  <c r="N152" i="18"/>
  <c r="L152" i="18"/>
  <c r="B152" i="18"/>
  <c r="X151" i="18"/>
  <c r="Z151" i="18" s="1"/>
  <c r="N151" i="18"/>
  <c r="L151" i="18"/>
  <c r="B151" i="18"/>
  <c r="X150" i="18"/>
  <c r="Z150" i="18" s="1"/>
  <c r="L150" i="18"/>
  <c r="N150" i="18" s="1"/>
  <c r="B150" i="18"/>
  <c r="X149" i="18"/>
  <c r="Z149" i="18" s="1"/>
  <c r="N149" i="18"/>
  <c r="L149" i="18"/>
  <c r="B149" i="18"/>
  <c r="X148" i="18"/>
  <c r="Z148" i="18" s="1"/>
  <c r="L148" i="18"/>
  <c r="N148" i="18" s="1"/>
  <c r="B148" i="18"/>
  <c r="T147" i="18"/>
  <c r="P147" i="18"/>
  <c r="X147" i="18" s="1"/>
  <c r="L147" i="18"/>
  <c r="J147" i="18"/>
  <c r="H147" i="18"/>
  <c r="D147" i="18"/>
  <c r="B147" i="18"/>
  <c r="T146" i="18"/>
  <c r="X146" i="18" s="1"/>
  <c r="Z146" i="18" s="1"/>
  <c r="P146" i="18"/>
  <c r="H146" i="18"/>
  <c r="D146" i="18"/>
  <c r="Z142" i="18"/>
  <c r="X142" i="18"/>
  <c r="N142" i="18"/>
  <c r="L142" i="18"/>
  <c r="B142" i="18"/>
  <c r="Z141" i="18"/>
  <c r="X141" i="18"/>
  <c r="N141" i="18"/>
  <c r="L141" i="18"/>
  <c r="B141" i="18"/>
  <c r="Z140" i="18"/>
  <c r="X140" i="18"/>
  <c r="V140" i="18"/>
  <c r="N140" i="18"/>
  <c r="L140" i="18"/>
  <c r="J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V136" i="18"/>
  <c r="N136" i="18"/>
  <c r="L136" i="18"/>
  <c r="J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V132" i="18"/>
  <c r="N132" i="18"/>
  <c r="L132" i="18"/>
  <c r="J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V128" i="18"/>
  <c r="N128" i="18"/>
  <c r="L128" i="18"/>
  <c r="J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V124" i="18"/>
  <c r="N124" i="18"/>
  <c r="L124" i="18"/>
  <c r="J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V120" i="18"/>
  <c r="N120" i="18"/>
  <c r="L120" i="18"/>
  <c r="J120" i="18"/>
  <c r="B120" i="18"/>
  <c r="Z119" i="18"/>
  <c r="X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V116" i="18"/>
  <c r="N116" i="18"/>
  <c r="L116" i="18"/>
  <c r="J116" i="18"/>
  <c r="B116" i="18"/>
  <c r="Z115" i="18"/>
  <c r="X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V112" i="18"/>
  <c r="N112" i="18"/>
  <c r="L112" i="18"/>
  <c r="J112" i="18"/>
  <c r="B112" i="18"/>
  <c r="Z111" i="18"/>
  <c r="X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V108" i="18"/>
  <c r="N108" i="18"/>
  <c r="L108" i="18"/>
  <c r="J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V104" i="18"/>
  <c r="N104" i="18"/>
  <c r="L104" i="18"/>
  <c r="J104" i="18"/>
  <c r="B104" i="18"/>
  <c r="Z103" i="18"/>
  <c r="X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V100" i="18"/>
  <c r="N100" i="18"/>
  <c r="L100" i="18"/>
  <c r="J100" i="18"/>
  <c r="B100" i="18"/>
  <c r="Z99" i="18"/>
  <c r="X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V96" i="18"/>
  <c r="N96" i="18"/>
  <c r="L96" i="18"/>
  <c r="J96" i="18"/>
  <c r="B96" i="18"/>
  <c r="X95" i="18"/>
  <c r="Z95" i="18" s="1"/>
  <c r="L95" i="18"/>
  <c r="N95" i="18" s="1"/>
  <c r="B95" i="18"/>
  <c r="Z94" i="18"/>
  <c r="T94" i="18"/>
  <c r="P94" i="18"/>
  <c r="X94" i="18" s="1"/>
  <c r="J94" i="18"/>
  <c r="H94" i="18"/>
  <c r="N94" i="18" s="1"/>
  <c r="D94" i="18"/>
  <c r="L94" i="18" s="1"/>
  <c r="Z92" i="18"/>
  <c r="P92" i="18"/>
  <c r="X92" i="18" s="1"/>
  <c r="N92" i="18"/>
  <c r="D92" i="18"/>
  <c r="L92" i="18" s="1"/>
  <c r="B92" i="18"/>
  <c r="Z91" i="18"/>
  <c r="X91" i="18"/>
  <c r="P91" i="18"/>
  <c r="N91" i="18"/>
  <c r="D91" i="18"/>
  <c r="L91" i="18" s="1"/>
  <c r="B91" i="18"/>
  <c r="Z90" i="18"/>
  <c r="P90" i="18"/>
  <c r="X90" i="18" s="1"/>
  <c r="N90" i="18"/>
  <c r="D90" i="18"/>
  <c r="L90" i="18" s="1"/>
  <c r="B90" i="18"/>
  <c r="Z89" i="18"/>
  <c r="P89" i="18"/>
  <c r="X89" i="18" s="1"/>
  <c r="N89" i="18"/>
  <c r="D89" i="18"/>
  <c r="L89" i="18" s="1"/>
  <c r="B89" i="18"/>
  <c r="Z88" i="18"/>
  <c r="X88" i="18"/>
  <c r="P88" i="18"/>
  <c r="N88" i="18"/>
  <c r="L88" i="18"/>
  <c r="D88" i="18"/>
  <c r="B88" i="18"/>
  <c r="Z87" i="18"/>
  <c r="X87" i="18"/>
  <c r="P87" i="18"/>
  <c r="N87" i="18"/>
  <c r="D87" i="18"/>
  <c r="L87" i="18" s="1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L85" i="18"/>
  <c r="D85" i="18"/>
  <c r="B85" i="18"/>
  <c r="Z84" i="18"/>
  <c r="P84" i="18"/>
  <c r="X84" i="18" s="1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P81" i="18"/>
  <c r="X81" i="18" s="1"/>
  <c r="N81" i="18"/>
  <c r="D81" i="18"/>
  <c r="L81" i="18" s="1"/>
  <c r="B81" i="18"/>
  <c r="Z80" i="18"/>
  <c r="P80" i="18"/>
  <c r="X80" i="18" s="1"/>
  <c r="N80" i="18"/>
  <c r="D80" i="18"/>
  <c r="L80" i="18" s="1"/>
  <c r="B80" i="18"/>
  <c r="Z79" i="18"/>
  <c r="X79" i="18"/>
  <c r="P79" i="18"/>
  <c r="N79" i="18"/>
  <c r="D79" i="18"/>
  <c r="L79" i="18" s="1"/>
  <c r="B79" i="18"/>
  <c r="Z78" i="18"/>
  <c r="P78" i="18"/>
  <c r="X78" i="18" s="1"/>
  <c r="N78" i="18"/>
  <c r="D78" i="18"/>
  <c r="L78" i="18" s="1"/>
  <c r="B78" i="18"/>
  <c r="Z77" i="18"/>
  <c r="P77" i="18"/>
  <c r="X77" i="18" s="1"/>
  <c r="N77" i="18"/>
  <c r="D77" i="18"/>
  <c r="L77" i="18" s="1"/>
  <c r="B77" i="18"/>
  <c r="Z76" i="18"/>
  <c r="X76" i="18"/>
  <c r="P76" i="18"/>
  <c r="N76" i="18"/>
  <c r="L76" i="18"/>
  <c r="D76" i="18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L73" i="18"/>
  <c r="D73" i="18"/>
  <c r="B73" i="18"/>
  <c r="Z72" i="18"/>
  <c r="P72" i="18"/>
  <c r="X72" i="18" s="1"/>
  <c r="N72" i="18"/>
  <c r="L72" i="18"/>
  <c r="D72" i="18"/>
  <c r="B72" i="18"/>
  <c r="Z71" i="18"/>
  <c r="P71" i="18"/>
  <c r="X71" i="18" s="1"/>
  <c r="N71" i="18"/>
  <c r="D71" i="18"/>
  <c r="L71" i="18" s="1"/>
  <c r="B71" i="18"/>
  <c r="Z70" i="18"/>
  <c r="P70" i="18"/>
  <c r="X70" i="18" s="1"/>
  <c r="N70" i="18"/>
  <c r="L70" i="18"/>
  <c r="D70" i="18"/>
  <c r="B70" i="18"/>
  <c r="Z69" i="18"/>
  <c r="P69" i="18"/>
  <c r="X69" i="18" s="1"/>
  <c r="N69" i="18"/>
  <c r="D69" i="18"/>
  <c r="L69" i="18" s="1"/>
  <c r="B69" i="18"/>
  <c r="Z68" i="18"/>
  <c r="P68" i="18"/>
  <c r="X68" i="18" s="1"/>
  <c r="N68" i="18"/>
  <c r="D68" i="18"/>
  <c r="L68" i="18" s="1"/>
  <c r="B68" i="18"/>
  <c r="Z67" i="18"/>
  <c r="X67" i="18"/>
  <c r="P67" i="18"/>
  <c r="N67" i="18"/>
  <c r="D67" i="18"/>
  <c r="L67" i="18" s="1"/>
  <c r="B67" i="18"/>
  <c r="Z66" i="18"/>
  <c r="P66" i="18"/>
  <c r="X66" i="18" s="1"/>
  <c r="N66" i="18"/>
  <c r="D66" i="18"/>
  <c r="L66" i="18" s="1"/>
  <c r="B66" i="18"/>
  <c r="Z65" i="18"/>
  <c r="P65" i="18"/>
  <c r="X65" i="18" s="1"/>
  <c r="N65" i="18"/>
  <c r="D65" i="18"/>
  <c r="L65" i="18" s="1"/>
  <c r="B65" i="18"/>
  <c r="Z64" i="18"/>
  <c r="X64" i="18"/>
  <c r="P64" i="18"/>
  <c r="N64" i="18"/>
  <c r="L64" i="18"/>
  <c r="D64" i="18"/>
  <c r="B64" i="18"/>
  <c r="Z63" i="18"/>
  <c r="X63" i="18"/>
  <c r="P63" i="18"/>
  <c r="N63" i="18"/>
  <c r="D63" i="18"/>
  <c r="L63" i="18" s="1"/>
  <c r="B63" i="18"/>
  <c r="Z62" i="18"/>
  <c r="P62" i="18"/>
  <c r="X62" i="18" s="1"/>
  <c r="N62" i="18"/>
  <c r="D62" i="18"/>
  <c r="L62" i="18" s="1"/>
  <c r="B62" i="18"/>
  <c r="Z61" i="18"/>
  <c r="X61" i="18"/>
  <c r="P61" i="18"/>
  <c r="N61" i="18"/>
  <c r="L61" i="18"/>
  <c r="D61" i="18"/>
  <c r="B61" i="18"/>
  <c r="Z60" i="18"/>
  <c r="P60" i="18"/>
  <c r="X60" i="18" s="1"/>
  <c r="N60" i="18"/>
  <c r="L60" i="18"/>
  <c r="D60" i="18"/>
  <c r="B60" i="18"/>
  <c r="Z59" i="18"/>
  <c r="P59" i="18"/>
  <c r="X59" i="18" s="1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P57" i="18"/>
  <c r="X57" i="18" s="1"/>
  <c r="N57" i="18"/>
  <c r="D57" i="18"/>
  <c r="L57" i="18" s="1"/>
  <c r="B57" i="18"/>
  <c r="Z56" i="18"/>
  <c r="P56" i="18"/>
  <c r="X56" i="18" s="1"/>
  <c r="N56" i="18"/>
  <c r="D56" i="18"/>
  <c r="L56" i="18" s="1"/>
  <c r="B56" i="18"/>
  <c r="Z55" i="18"/>
  <c r="X55" i="18"/>
  <c r="P55" i="18"/>
  <c r="N55" i="18"/>
  <c r="D55" i="18"/>
  <c r="L55" i="18" s="1"/>
  <c r="B55" i="18"/>
  <c r="Z54" i="18"/>
  <c r="P54" i="18"/>
  <c r="X54" i="18" s="1"/>
  <c r="N54" i="18"/>
  <c r="D54" i="18"/>
  <c r="L54" i="18" s="1"/>
  <c r="B54" i="18"/>
  <c r="Z53" i="18"/>
  <c r="P53" i="18"/>
  <c r="X53" i="18" s="1"/>
  <c r="N53" i="18"/>
  <c r="D53" i="18"/>
  <c r="L53" i="18" s="1"/>
  <c r="B53" i="18"/>
  <c r="Z52" i="18"/>
  <c r="X52" i="18"/>
  <c r="P52" i="18"/>
  <c r="N52" i="18"/>
  <c r="L52" i="18"/>
  <c r="D52" i="18"/>
  <c r="B52" i="18"/>
  <c r="Z51" i="18"/>
  <c r="X51" i="18"/>
  <c r="P51" i="18"/>
  <c r="N51" i="18"/>
  <c r="D51" i="18"/>
  <c r="L51" i="18" s="1"/>
  <c r="B51" i="18"/>
  <c r="Z50" i="18"/>
  <c r="P50" i="18"/>
  <c r="X50" i="18" s="1"/>
  <c r="N50" i="18"/>
  <c r="D50" i="18"/>
  <c r="L50" i="18" s="1"/>
  <c r="B50" i="18"/>
  <c r="Z49" i="18"/>
  <c r="X49" i="18"/>
  <c r="P49" i="18"/>
  <c r="N49" i="18"/>
  <c r="L49" i="18"/>
  <c r="D49" i="18"/>
  <c r="B49" i="18"/>
  <c r="Z48" i="18"/>
  <c r="P48" i="18"/>
  <c r="X48" i="18" s="1"/>
  <c r="N48" i="18"/>
  <c r="L48" i="18"/>
  <c r="D48" i="18"/>
  <c r="B48" i="18"/>
  <c r="Z47" i="18"/>
  <c r="P47" i="18"/>
  <c r="X47" i="18" s="1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P45" i="18"/>
  <c r="X45" i="18" s="1"/>
  <c r="N45" i="18"/>
  <c r="D45" i="18"/>
  <c r="L45" i="18" s="1"/>
  <c r="B45" i="18"/>
  <c r="Z44" i="18"/>
  <c r="P44" i="18"/>
  <c r="X44" i="18" s="1"/>
  <c r="N44" i="18"/>
  <c r="D44" i="18"/>
  <c r="L44" i="18" s="1"/>
  <c r="B44" i="18"/>
  <c r="Z43" i="18"/>
  <c r="X43" i="18"/>
  <c r="P43" i="18"/>
  <c r="N43" i="18"/>
  <c r="D43" i="18"/>
  <c r="L43" i="18" s="1"/>
  <c r="B43" i="18"/>
  <c r="Z42" i="18"/>
  <c r="P42" i="18"/>
  <c r="X42" i="18" s="1"/>
  <c r="N42" i="18"/>
  <c r="D42" i="18"/>
  <c r="L42" i="18" s="1"/>
  <c r="B42" i="18"/>
  <c r="Z41" i="18"/>
  <c r="P41" i="18"/>
  <c r="X41" i="18" s="1"/>
  <c r="N41" i="18"/>
  <c r="D41" i="18"/>
  <c r="L41" i="18" s="1"/>
  <c r="B41" i="18"/>
  <c r="Z40" i="18"/>
  <c r="X40" i="18"/>
  <c r="P40" i="18"/>
  <c r="N40" i="18"/>
  <c r="L40" i="18"/>
  <c r="D40" i="18"/>
  <c r="B40" i="18"/>
  <c r="Z39" i="18"/>
  <c r="X39" i="18"/>
  <c r="P39" i="18"/>
  <c r="N39" i="18"/>
  <c r="D39" i="18"/>
  <c r="L39" i="18" s="1"/>
  <c r="B39" i="18"/>
  <c r="P38" i="18"/>
  <c r="X38" i="18" s="1"/>
  <c r="Z38" i="18" s="1"/>
  <c r="D38" i="18"/>
  <c r="L38" i="18" s="1"/>
  <c r="N38" i="18" s="1"/>
  <c r="B38" i="18"/>
  <c r="Z37" i="18"/>
  <c r="X37" i="18"/>
  <c r="P37" i="18"/>
  <c r="N37" i="18"/>
  <c r="L37" i="18"/>
  <c r="D37" i="18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D35" i="18"/>
  <c r="L35" i="18" s="1"/>
  <c r="B35" i="18"/>
  <c r="Z34" i="18"/>
  <c r="P34" i="18"/>
  <c r="X34" i="18" s="1"/>
  <c r="N34" i="18"/>
  <c r="L34" i="18"/>
  <c r="D34" i="18"/>
  <c r="B34" i="18"/>
  <c r="Z33" i="18"/>
  <c r="P33" i="18"/>
  <c r="X33" i="18" s="1"/>
  <c r="N33" i="18"/>
  <c r="D33" i="18"/>
  <c r="L33" i="18" s="1"/>
  <c r="B33" i="18"/>
  <c r="Z32" i="18"/>
  <c r="P32" i="18"/>
  <c r="X32" i="18" s="1"/>
  <c r="N32" i="18"/>
  <c r="D32" i="18"/>
  <c r="L32" i="18" s="1"/>
  <c r="B32" i="18"/>
  <c r="Z31" i="18"/>
  <c r="X31" i="18"/>
  <c r="P31" i="18"/>
  <c r="N31" i="18"/>
  <c r="D31" i="18"/>
  <c r="L31" i="18" s="1"/>
  <c r="B31" i="18"/>
  <c r="Z30" i="18"/>
  <c r="P30" i="18"/>
  <c r="X30" i="18" s="1"/>
  <c r="N30" i="18"/>
  <c r="D30" i="18"/>
  <c r="L30" i="18" s="1"/>
  <c r="B30" i="18"/>
  <c r="Z29" i="18"/>
  <c r="P29" i="18"/>
  <c r="X29" i="18" s="1"/>
  <c r="N29" i="18"/>
  <c r="D29" i="18"/>
  <c r="L29" i="18" s="1"/>
  <c r="B29" i="18"/>
  <c r="Z28" i="18"/>
  <c r="X28" i="18"/>
  <c r="P28" i="18"/>
  <c r="N28" i="18"/>
  <c r="L28" i="18"/>
  <c r="D28" i="18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L25" i="18"/>
  <c r="D25" i="18"/>
  <c r="B25" i="18"/>
  <c r="Z24" i="18"/>
  <c r="P24" i="18"/>
  <c r="X24" i="18" s="1"/>
  <c r="N24" i="18"/>
  <c r="L24" i="18"/>
  <c r="D24" i="18"/>
  <c r="B24" i="18"/>
  <c r="Z23" i="18"/>
  <c r="P23" i="18"/>
  <c r="X23" i="18" s="1"/>
  <c r="N23" i="18"/>
  <c r="D23" i="18"/>
  <c r="L23" i="18" s="1"/>
  <c r="B23" i="18"/>
  <c r="Z22" i="18"/>
  <c r="P22" i="18"/>
  <c r="X22" i="18" s="1"/>
  <c r="N22" i="18"/>
  <c r="L22" i="18"/>
  <c r="D22" i="18"/>
  <c r="B22" i="18"/>
  <c r="Z21" i="18"/>
  <c r="P21" i="18"/>
  <c r="X21" i="18" s="1"/>
  <c r="N21" i="18"/>
  <c r="D21" i="18"/>
  <c r="L21" i="18" s="1"/>
  <c r="B21" i="18"/>
  <c r="Z20" i="18"/>
  <c r="P20" i="18"/>
  <c r="X20" i="18" s="1"/>
  <c r="N20" i="18"/>
  <c r="D20" i="18"/>
  <c r="L20" i="18" s="1"/>
  <c r="B20" i="18"/>
  <c r="Z19" i="18"/>
  <c r="X19" i="18"/>
  <c r="P19" i="18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P17" i="18"/>
  <c r="X17" i="18" s="1"/>
  <c r="N17" i="18"/>
  <c r="D17" i="18"/>
  <c r="L17" i="18" s="1"/>
  <c r="B17" i="18"/>
  <c r="Z16" i="18"/>
  <c r="X16" i="18"/>
  <c r="P16" i="18"/>
  <c r="N16" i="18"/>
  <c r="L16" i="18"/>
  <c r="D16" i="18"/>
  <c r="B16" i="18"/>
  <c r="Z15" i="18"/>
  <c r="X15" i="18"/>
  <c r="P15" i="18"/>
  <c r="N15" i="18"/>
  <c r="D15" i="18"/>
  <c r="L15" i="18" s="1"/>
  <c r="B15" i="18"/>
  <c r="Z14" i="18"/>
  <c r="P14" i="18"/>
  <c r="N14" i="18"/>
  <c r="D14" i="18"/>
  <c r="D12" i="18" s="1"/>
  <c r="B14" i="18"/>
  <c r="X13" i="18"/>
  <c r="Z13" i="18" s="1"/>
  <c r="P13" i="18"/>
  <c r="L13" i="18"/>
  <c r="N13" i="18" s="1"/>
  <c r="D13" i="18"/>
  <c r="B13" i="18"/>
  <c r="T12" i="18"/>
  <c r="V250" i="18" s="1"/>
  <c r="H12" i="18"/>
  <c r="J248" i="18" s="1"/>
  <c r="D4" i="18"/>
  <c r="X230" i="15"/>
  <c r="Z230" i="15" s="1"/>
  <c r="L230" i="15"/>
  <c r="N230" i="15" s="1"/>
  <c r="Z226" i="15"/>
  <c r="X226" i="15"/>
  <c r="P226" i="15"/>
  <c r="N226" i="15"/>
  <c r="D226" i="15"/>
  <c r="L226" i="15" s="1"/>
  <c r="B226" i="15"/>
  <c r="Z225" i="15"/>
  <c r="X225" i="15"/>
  <c r="P225" i="15"/>
  <c r="N225" i="15"/>
  <c r="L225" i="15"/>
  <c r="D225" i="15"/>
  <c r="B225" i="15"/>
  <c r="P224" i="15"/>
  <c r="X224" i="15" s="1"/>
  <c r="Z224" i="15" s="1"/>
  <c r="L224" i="15"/>
  <c r="N224" i="15" s="1"/>
  <c r="J224" i="15"/>
  <c r="D224" i="15"/>
  <c r="B224" i="15"/>
  <c r="P223" i="15"/>
  <c r="P221" i="15" s="1"/>
  <c r="X221" i="15" s="1"/>
  <c r="Z221" i="15" s="1"/>
  <c r="D223" i="15"/>
  <c r="L223" i="15" s="1"/>
  <c r="N223" i="15" s="1"/>
  <c r="B223" i="15"/>
  <c r="Z222" i="15"/>
  <c r="X222" i="15"/>
  <c r="P222" i="15"/>
  <c r="N222" i="15"/>
  <c r="D222" i="15"/>
  <c r="B222" i="15"/>
  <c r="T221" i="15"/>
  <c r="H221" i="15"/>
  <c r="X219" i="15"/>
  <c r="Z219" i="15" s="1"/>
  <c r="N219" i="15"/>
  <c r="L219" i="15"/>
  <c r="B219" i="15"/>
  <c r="X218" i="15"/>
  <c r="Z218" i="15" s="1"/>
  <c r="T218" i="15"/>
  <c r="P218" i="15"/>
  <c r="L218" i="15"/>
  <c r="H218" i="15"/>
  <c r="N218" i="15" s="1"/>
  <c r="D218" i="15"/>
  <c r="B218" i="15"/>
  <c r="Z217" i="15"/>
  <c r="X217" i="15"/>
  <c r="N217" i="15"/>
  <c r="L217" i="15"/>
  <c r="B217" i="15"/>
  <c r="Z216" i="15"/>
  <c r="X216" i="15"/>
  <c r="L216" i="15"/>
  <c r="N216" i="15" s="1"/>
  <c r="B216" i="15"/>
  <c r="Z215" i="15"/>
  <c r="X215" i="15"/>
  <c r="N215" i="15"/>
  <c r="L215" i="15"/>
  <c r="B215" i="15"/>
  <c r="X214" i="15"/>
  <c r="Z214" i="15" s="1"/>
  <c r="T214" i="15"/>
  <c r="P214" i="15"/>
  <c r="H214" i="15"/>
  <c r="D214" i="15"/>
  <c r="L214" i="15" s="1"/>
  <c r="B214" i="15"/>
  <c r="Z213" i="15"/>
  <c r="X213" i="15"/>
  <c r="N213" i="15"/>
  <c r="L213" i="15"/>
  <c r="B213" i="15"/>
  <c r="T212" i="15"/>
  <c r="P212" i="15"/>
  <c r="X212" i="15" s="1"/>
  <c r="N212" i="15"/>
  <c r="H212" i="15"/>
  <c r="D212" i="15"/>
  <c r="L212" i="15" s="1"/>
  <c r="B212" i="15"/>
  <c r="X211" i="15"/>
  <c r="Z211" i="15" s="1"/>
  <c r="N211" i="15"/>
  <c r="L211" i="15"/>
  <c r="B211" i="15"/>
  <c r="X210" i="15"/>
  <c r="Z210" i="15" s="1"/>
  <c r="L210" i="15"/>
  <c r="N210" i="15" s="1"/>
  <c r="B210" i="15"/>
  <c r="X209" i="15"/>
  <c r="T209" i="15"/>
  <c r="Z209" i="15" s="1"/>
  <c r="P209" i="15"/>
  <c r="L209" i="15"/>
  <c r="N209" i="15" s="1"/>
  <c r="H209" i="15"/>
  <c r="D209" i="15"/>
  <c r="B209" i="15"/>
  <c r="Z208" i="15"/>
  <c r="X208" i="15"/>
  <c r="L208" i="15"/>
  <c r="N208" i="15" s="1"/>
  <c r="B208" i="15"/>
  <c r="Z207" i="15"/>
  <c r="X207" i="15"/>
  <c r="L207" i="15"/>
  <c r="N207" i="15" s="1"/>
  <c r="B207" i="15"/>
  <c r="X206" i="15"/>
  <c r="Z206" i="15" s="1"/>
  <c r="L206" i="15"/>
  <c r="N206" i="15" s="1"/>
  <c r="B206" i="15"/>
  <c r="Z205" i="15"/>
  <c r="X205" i="15"/>
  <c r="N205" i="15"/>
  <c r="L205" i="15"/>
  <c r="B205" i="15"/>
  <c r="Z204" i="15"/>
  <c r="X204" i="15"/>
  <c r="L204" i="15"/>
  <c r="N204" i="15" s="1"/>
  <c r="B204" i="15"/>
  <c r="Z203" i="15"/>
  <c r="X203" i="15"/>
  <c r="L203" i="15"/>
  <c r="N203" i="15" s="1"/>
  <c r="B203" i="15"/>
  <c r="X202" i="15"/>
  <c r="Z202" i="15" s="1"/>
  <c r="L202" i="15"/>
  <c r="N202" i="15" s="1"/>
  <c r="B202" i="15"/>
  <c r="Z201" i="15"/>
  <c r="X201" i="15"/>
  <c r="N201" i="15"/>
  <c r="L201" i="15"/>
  <c r="B201" i="15"/>
  <c r="Z200" i="15"/>
  <c r="X200" i="15"/>
  <c r="L200" i="15"/>
  <c r="N200" i="15" s="1"/>
  <c r="B200" i="15"/>
  <c r="T199" i="15"/>
  <c r="Z199" i="15" s="1"/>
  <c r="P199" i="15"/>
  <c r="X199" i="15" s="1"/>
  <c r="H199" i="15"/>
  <c r="L199" i="15" s="1"/>
  <c r="N199" i="15" s="1"/>
  <c r="D199" i="15"/>
  <c r="B199" i="15"/>
  <c r="X198" i="15"/>
  <c r="Z198" i="15" s="1"/>
  <c r="L198" i="15"/>
  <c r="N198" i="15" s="1"/>
  <c r="B198" i="15"/>
  <c r="Z197" i="15"/>
  <c r="X197" i="15"/>
  <c r="L197" i="15"/>
  <c r="N197" i="15" s="1"/>
  <c r="B197" i="15"/>
  <c r="T196" i="15"/>
  <c r="P196" i="15"/>
  <c r="X196" i="15" s="1"/>
  <c r="H196" i="15"/>
  <c r="D196" i="15"/>
  <c r="L196" i="15" s="1"/>
  <c r="N196" i="15" s="1"/>
  <c r="B196" i="15"/>
  <c r="X195" i="15"/>
  <c r="Z195" i="15" s="1"/>
  <c r="N195" i="15"/>
  <c r="L195" i="15"/>
  <c r="B195" i="15"/>
  <c r="X194" i="15"/>
  <c r="Z194" i="15" s="1"/>
  <c r="L194" i="15"/>
  <c r="N194" i="15" s="1"/>
  <c r="B194" i="15"/>
  <c r="Z193" i="15"/>
  <c r="X193" i="15"/>
  <c r="N193" i="15"/>
  <c r="L193" i="15"/>
  <c r="B193" i="15"/>
  <c r="X192" i="15"/>
  <c r="Z192" i="15" s="1"/>
  <c r="N192" i="15"/>
  <c r="L192" i="15"/>
  <c r="B192" i="15"/>
  <c r="X191" i="15"/>
  <c r="Z191" i="15" s="1"/>
  <c r="T191" i="15"/>
  <c r="P191" i="15"/>
  <c r="L191" i="15"/>
  <c r="H191" i="15"/>
  <c r="N191" i="15" s="1"/>
  <c r="D191" i="15"/>
  <c r="B191" i="15"/>
  <c r="X190" i="15"/>
  <c r="Z190" i="15" s="1"/>
  <c r="L190" i="15"/>
  <c r="N190" i="15" s="1"/>
  <c r="B190" i="15"/>
  <c r="Z189" i="15"/>
  <c r="X189" i="15"/>
  <c r="N189" i="15"/>
  <c r="L189" i="15"/>
  <c r="B189" i="15"/>
  <c r="Z188" i="15"/>
  <c r="X188" i="15"/>
  <c r="L188" i="15"/>
  <c r="N188" i="15" s="1"/>
  <c r="B188" i="15"/>
  <c r="Z187" i="15"/>
  <c r="X187" i="15"/>
  <c r="L187" i="15"/>
  <c r="N187" i="15" s="1"/>
  <c r="B187" i="15"/>
  <c r="X186" i="15"/>
  <c r="Z186" i="15" s="1"/>
  <c r="T186" i="15"/>
  <c r="P186" i="15"/>
  <c r="H186" i="15"/>
  <c r="D186" i="15"/>
  <c r="L186" i="15" s="1"/>
  <c r="B186" i="15"/>
  <c r="Z185" i="15"/>
  <c r="X185" i="15"/>
  <c r="L185" i="15"/>
  <c r="N185" i="15" s="1"/>
  <c r="B185" i="15"/>
  <c r="X184" i="15"/>
  <c r="Z184" i="15" s="1"/>
  <c r="L184" i="15"/>
  <c r="N184" i="15" s="1"/>
  <c r="B184" i="15"/>
  <c r="Z183" i="15"/>
  <c r="X183" i="15"/>
  <c r="N183" i="15"/>
  <c r="L183" i="15"/>
  <c r="B183" i="15"/>
  <c r="X182" i="15"/>
  <c r="Z182" i="15" s="1"/>
  <c r="N182" i="15"/>
  <c r="L182" i="15"/>
  <c r="B182" i="15"/>
  <c r="Z181" i="15"/>
  <c r="T181" i="15"/>
  <c r="P181" i="15"/>
  <c r="X181" i="15" s="1"/>
  <c r="H181" i="15"/>
  <c r="N181" i="15" s="1"/>
  <c r="D181" i="15"/>
  <c r="L181" i="15" s="1"/>
  <c r="B181" i="15"/>
  <c r="X180" i="15"/>
  <c r="Z180" i="15" s="1"/>
  <c r="N180" i="15"/>
  <c r="L180" i="15"/>
  <c r="B180" i="15"/>
  <c r="X179" i="15"/>
  <c r="Z179" i="15" s="1"/>
  <c r="V179" i="15"/>
  <c r="T179" i="15"/>
  <c r="P179" i="15"/>
  <c r="L179" i="15"/>
  <c r="H179" i="15"/>
  <c r="N179" i="15" s="1"/>
  <c r="D179" i="15"/>
  <c r="B179" i="15"/>
  <c r="X178" i="15"/>
  <c r="Z178" i="15" s="1"/>
  <c r="L178" i="15"/>
  <c r="N178" i="15" s="1"/>
  <c r="B178" i="15"/>
  <c r="T177" i="15"/>
  <c r="X177" i="15" s="1"/>
  <c r="Z177" i="15" s="1"/>
  <c r="P177" i="15"/>
  <c r="H177" i="15"/>
  <c r="N177" i="15" s="1"/>
  <c r="D177" i="15"/>
  <c r="L177" i="15" s="1"/>
  <c r="B177" i="15"/>
  <c r="Z176" i="15"/>
  <c r="X176" i="15"/>
  <c r="N176" i="15"/>
  <c r="L176" i="15"/>
  <c r="B176" i="15"/>
  <c r="X175" i="15"/>
  <c r="Z175" i="15" s="1"/>
  <c r="L175" i="15"/>
  <c r="N175" i="15" s="1"/>
  <c r="B175" i="15"/>
  <c r="T174" i="15"/>
  <c r="P174" i="15"/>
  <c r="X174" i="15" s="1"/>
  <c r="Z174" i="15" s="1"/>
  <c r="H174" i="15"/>
  <c r="D174" i="15"/>
  <c r="B174" i="15"/>
  <c r="X173" i="15"/>
  <c r="Z173" i="15" s="1"/>
  <c r="N173" i="15"/>
  <c r="L173" i="15"/>
  <c r="B173" i="15"/>
  <c r="X172" i="15"/>
  <c r="T172" i="15"/>
  <c r="Z172" i="15" s="1"/>
  <c r="P172" i="15"/>
  <c r="H172" i="15"/>
  <c r="D172" i="15"/>
  <c r="L172" i="15" s="1"/>
  <c r="N172" i="15" s="1"/>
  <c r="B172" i="15"/>
  <c r="Z171" i="15"/>
  <c r="X171" i="15"/>
  <c r="L171" i="15"/>
  <c r="N171" i="15" s="1"/>
  <c r="B171" i="15"/>
  <c r="X170" i="15"/>
  <c r="Z170" i="15" s="1"/>
  <c r="N170" i="15"/>
  <c r="L170" i="15"/>
  <c r="B170" i="15"/>
  <c r="Z169" i="15"/>
  <c r="X169" i="15"/>
  <c r="N169" i="15"/>
  <c r="L169" i="15"/>
  <c r="B169" i="15"/>
  <c r="T168" i="15"/>
  <c r="P168" i="15"/>
  <c r="X168" i="15" s="1"/>
  <c r="Z168" i="15" s="1"/>
  <c r="L168" i="15"/>
  <c r="N168" i="15" s="1"/>
  <c r="H168" i="15"/>
  <c r="D168" i="15"/>
  <c r="B168" i="15"/>
  <c r="X167" i="15"/>
  <c r="Z167" i="15" s="1"/>
  <c r="L167" i="15"/>
  <c r="N167" i="15" s="1"/>
  <c r="B167" i="15"/>
  <c r="X166" i="15"/>
  <c r="Z166" i="15" s="1"/>
  <c r="L166" i="15"/>
  <c r="N166" i="15" s="1"/>
  <c r="B166" i="15"/>
  <c r="Z165" i="15"/>
  <c r="V165" i="15"/>
  <c r="T165" i="15"/>
  <c r="P165" i="15"/>
  <c r="X165" i="15" s="1"/>
  <c r="H165" i="15"/>
  <c r="N165" i="15" s="1"/>
  <c r="D165" i="15"/>
  <c r="L165" i="15" s="1"/>
  <c r="B165" i="15"/>
  <c r="X164" i="15"/>
  <c r="Z164" i="15" s="1"/>
  <c r="N164" i="15"/>
  <c r="L164" i="15"/>
  <c r="B164" i="15"/>
  <c r="X163" i="15"/>
  <c r="Z163" i="15" s="1"/>
  <c r="T163" i="15"/>
  <c r="P163" i="15"/>
  <c r="L163" i="15"/>
  <c r="H163" i="15"/>
  <c r="N163" i="15" s="1"/>
  <c r="D163" i="15"/>
  <c r="B163" i="15"/>
  <c r="X162" i="15"/>
  <c r="Z162" i="15" s="1"/>
  <c r="L162" i="15"/>
  <c r="N162" i="15" s="1"/>
  <c r="B162" i="15"/>
  <c r="Z161" i="15"/>
  <c r="T161" i="15"/>
  <c r="X161" i="15" s="1"/>
  <c r="P161" i="15"/>
  <c r="H161" i="15"/>
  <c r="D161" i="15"/>
  <c r="B161" i="15"/>
  <c r="X160" i="15"/>
  <c r="Z160" i="15" s="1"/>
  <c r="L160" i="15"/>
  <c r="N160" i="15" s="1"/>
  <c r="B160" i="15"/>
  <c r="Z159" i="15"/>
  <c r="X159" i="15"/>
  <c r="N159" i="15"/>
  <c r="L159" i="15"/>
  <c r="B159" i="15"/>
  <c r="V158" i="15"/>
  <c r="T158" i="15"/>
  <c r="P158" i="15"/>
  <c r="X158" i="15" s="1"/>
  <c r="Z158" i="15" s="1"/>
  <c r="H158" i="15"/>
  <c r="D158" i="15"/>
  <c r="B158" i="15"/>
  <c r="Z157" i="15"/>
  <c r="X157" i="15"/>
  <c r="N157" i="15"/>
  <c r="L157" i="15"/>
  <c r="B157" i="15"/>
  <c r="X156" i="15"/>
  <c r="Z156" i="15" s="1"/>
  <c r="N156" i="15"/>
  <c r="L156" i="15"/>
  <c r="B156" i="15"/>
  <c r="X155" i="15"/>
  <c r="Z155" i="15" s="1"/>
  <c r="T155" i="15"/>
  <c r="P155" i="15"/>
  <c r="L155" i="15"/>
  <c r="H155" i="15"/>
  <c r="N155" i="15" s="1"/>
  <c r="D155" i="15"/>
  <c r="B155" i="15"/>
  <c r="Z154" i="15"/>
  <c r="X154" i="15"/>
  <c r="L154" i="15"/>
  <c r="N154" i="15" s="1"/>
  <c r="B154" i="15"/>
  <c r="Z153" i="15"/>
  <c r="X153" i="15"/>
  <c r="N153" i="15"/>
  <c r="L153" i="15"/>
  <c r="B153" i="15"/>
  <c r="T152" i="15"/>
  <c r="Z152" i="15" s="1"/>
  <c r="P152" i="15"/>
  <c r="X152" i="15" s="1"/>
  <c r="L152" i="15"/>
  <c r="N152" i="15" s="1"/>
  <c r="H152" i="15"/>
  <c r="D152" i="15"/>
  <c r="B152" i="15"/>
  <c r="X151" i="15"/>
  <c r="Z151" i="15" s="1"/>
  <c r="L151" i="15"/>
  <c r="N151" i="15" s="1"/>
  <c r="J151" i="15"/>
  <c r="B151" i="15"/>
  <c r="T150" i="15"/>
  <c r="P150" i="15"/>
  <c r="X150" i="15" s="1"/>
  <c r="Z150" i="15" s="1"/>
  <c r="H150" i="15"/>
  <c r="D150" i="15"/>
  <c r="L150" i="15" s="1"/>
  <c r="B150" i="15"/>
  <c r="X149" i="15"/>
  <c r="Z149" i="15" s="1"/>
  <c r="N149" i="15"/>
  <c r="L149" i="15"/>
  <c r="B149" i="15"/>
  <c r="X148" i="15"/>
  <c r="Z148" i="15" s="1"/>
  <c r="N148" i="15"/>
  <c r="L148" i="15"/>
  <c r="B148" i="15"/>
  <c r="X147" i="15"/>
  <c r="Z147" i="15" s="1"/>
  <c r="V147" i="15"/>
  <c r="T147" i="15"/>
  <c r="P147" i="15"/>
  <c r="L147" i="15"/>
  <c r="H147" i="15"/>
  <c r="D147" i="15"/>
  <c r="B147" i="15"/>
  <c r="Z146" i="15"/>
  <c r="X146" i="15"/>
  <c r="L146" i="15"/>
  <c r="N146" i="15" s="1"/>
  <c r="B146" i="15"/>
  <c r="T145" i="15"/>
  <c r="P145" i="15"/>
  <c r="H145" i="15"/>
  <c r="D145" i="15"/>
  <c r="L145" i="15" s="1"/>
  <c r="N145" i="15" s="1"/>
  <c r="B145" i="15"/>
  <c r="Z144" i="15"/>
  <c r="X144" i="15"/>
  <c r="N144" i="15"/>
  <c r="L144" i="15"/>
  <c r="B144" i="15"/>
  <c r="Z143" i="15"/>
  <c r="X143" i="15"/>
  <c r="N143" i="15"/>
  <c r="L143" i="15"/>
  <c r="B143" i="15"/>
  <c r="X142" i="15"/>
  <c r="Z142" i="15" s="1"/>
  <c r="L142" i="15"/>
  <c r="N142" i="15" s="1"/>
  <c r="B142" i="15"/>
  <c r="Z141" i="15"/>
  <c r="X141" i="15"/>
  <c r="N141" i="15"/>
  <c r="L141" i="15"/>
  <c r="B141" i="15"/>
  <c r="Z140" i="15"/>
  <c r="X140" i="15"/>
  <c r="N140" i="15"/>
  <c r="L140" i="15"/>
  <c r="B140" i="15"/>
  <c r="X139" i="15"/>
  <c r="Z139" i="15" s="1"/>
  <c r="L139" i="15"/>
  <c r="N139" i="15" s="1"/>
  <c r="B139" i="15"/>
  <c r="X138" i="15"/>
  <c r="Z138" i="15" s="1"/>
  <c r="N138" i="15"/>
  <c r="L138" i="15"/>
  <c r="B138" i="15"/>
  <c r="Z137" i="15"/>
  <c r="X137" i="15"/>
  <c r="N137" i="15"/>
  <c r="L137" i="15"/>
  <c r="B137" i="15"/>
  <c r="X136" i="15"/>
  <c r="Z136" i="15" s="1"/>
  <c r="V136" i="15"/>
  <c r="L136" i="15"/>
  <c r="N136" i="15" s="1"/>
  <c r="B136" i="15"/>
  <c r="X135" i="15"/>
  <c r="Z135" i="15" s="1"/>
  <c r="L135" i="15"/>
  <c r="N135" i="15" s="1"/>
  <c r="B135" i="15"/>
  <c r="T134" i="15"/>
  <c r="P134" i="15"/>
  <c r="X134" i="15" s="1"/>
  <c r="Z134" i="15" s="1"/>
  <c r="H134" i="15"/>
  <c r="D134" i="15"/>
  <c r="L134" i="15" s="1"/>
  <c r="B134" i="15"/>
  <c r="X133" i="15"/>
  <c r="Z133" i="15" s="1"/>
  <c r="N133" i="15"/>
  <c r="L133" i="15"/>
  <c r="B133" i="15"/>
  <c r="X132" i="15"/>
  <c r="Z132" i="15" s="1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X128" i="15"/>
  <c r="Z128" i="15" s="1"/>
  <c r="N128" i="15"/>
  <c r="L128" i="15"/>
  <c r="B128" i="15"/>
  <c r="X127" i="15"/>
  <c r="Z127" i="15" s="1"/>
  <c r="N127" i="15"/>
  <c r="L127" i="15"/>
  <c r="B127" i="15"/>
  <c r="X126" i="15"/>
  <c r="Z126" i="15" s="1"/>
  <c r="L126" i="15"/>
  <c r="N126" i="15" s="1"/>
  <c r="B126" i="15"/>
  <c r="Z125" i="15"/>
  <c r="X125" i="15"/>
  <c r="N125" i="15"/>
  <c r="L125" i="15"/>
  <c r="B125" i="15"/>
  <c r="X124" i="15"/>
  <c r="Z124" i="15" s="1"/>
  <c r="N124" i="15"/>
  <c r="L124" i="15"/>
  <c r="B124" i="15"/>
  <c r="Z123" i="15"/>
  <c r="X123" i="15"/>
  <c r="T123" i="15"/>
  <c r="P123" i="15"/>
  <c r="L123" i="15"/>
  <c r="N123" i="15" s="1"/>
  <c r="H123" i="15"/>
  <c r="D123" i="15"/>
  <c r="B123" i="15"/>
  <c r="T122" i="15"/>
  <c r="P122" i="15"/>
  <c r="X122" i="15" s="1"/>
  <c r="Z122" i="15" s="1"/>
  <c r="H122" i="15"/>
  <c r="D122" i="15"/>
  <c r="Z118" i="15"/>
  <c r="X118" i="15"/>
  <c r="N118" i="15"/>
  <c r="L118" i="15"/>
  <c r="B118" i="15"/>
  <c r="Z117" i="15"/>
  <c r="X117" i="15"/>
  <c r="V117" i="15"/>
  <c r="N117" i="15"/>
  <c r="L117" i="15"/>
  <c r="B117" i="15"/>
  <c r="Z116" i="15"/>
  <c r="X116" i="15"/>
  <c r="V116" i="15"/>
  <c r="N116" i="15"/>
  <c r="L116" i="15"/>
  <c r="B116" i="15"/>
  <c r="Z115" i="15"/>
  <c r="X115" i="15"/>
  <c r="V115" i="15"/>
  <c r="N115" i="15"/>
  <c r="L115" i="15"/>
  <c r="J115" i="15"/>
  <c r="B115" i="15"/>
  <c r="Z114" i="15"/>
  <c r="X114" i="15"/>
  <c r="N114" i="15"/>
  <c r="L114" i="15"/>
  <c r="B114" i="15"/>
  <c r="Z113" i="15"/>
  <c r="X113" i="15"/>
  <c r="V113" i="15"/>
  <c r="N113" i="15"/>
  <c r="L113" i="15"/>
  <c r="J113" i="15"/>
  <c r="B113" i="15"/>
  <c r="Z112" i="15"/>
  <c r="X112" i="15"/>
  <c r="V112" i="15"/>
  <c r="N112" i="15"/>
  <c r="L112" i="15"/>
  <c r="B112" i="15"/>
  <c r="Z111" i="15"/>
  <c r="X111" i="15"/>
  <c r="V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V108" i="15"/>
  <c r="N108" i="15"/>
  <c r="L108" i="15"/>
  <c r="B108" i="15"/>
  <c r="Z107" i="15"/>
  <c r="X107" i="15"/>
  <c r="V107" i="15"/>
  <c r="N107" i="15"/>
  <c r="L107" i="15"/>
  <c r="B107" i="15"/>
  <c r="Z106" i="15"/>
  <c r="X106" i="15"/>
  <c r="N106" i="15"/>
  <c r="L106" i="15"/>
  <c r="J106" i="15"/>
  <c r="B106" i="15"/>
  <c r="Z105" i="15"/>
  <c r="X105" i="15"/>
  <c r="V105" i="15"/>
  <c r="N105" i="15"/>
  <c r="L105" i="15"/>
  <c r="J105" i="15"/>
  <c r="B105" i="15"/>
  <c r="Z104" i="15"/>
  <c r="X104" i="15"/>
  <c r="N104" i="15"/>
  <c r="L104" i="15"/>
  <c r="B104" i="15"/>
  <c r="Z103" i="15"/>
  <c r="X103" i="15"/>
  <c r="V103" i="15"/>
  <c r="N103" i="15"/>
  <c r="L103" i="15"/>
  <c r="B103" i="15"/>
  <c r="Z102" i="15"/>
  <c r="X102" i="15"/>
  <c r="N102" i="15"/>
  <c r="L102" i="15"/>
  <c r="B102" i="15"/>
  <c r="Z101" i="15"/>
  <c r="X101" i="15"/>
  <c r="V101" i="15"/>
  <c r="N101" i="15"/>
  <c r="L101" i="15"/>
  <c r="B101" i="15"/>
  <c r="Z100" i="15"/>
  <c r="X100" i="15"/>
  <c r="V100" i="15"/>
  <c r="N100" i="15"/>
  <c r="L100" i="15"/>
  <c r="B100" i="15"/>
  <c r="Z99" i="15"/>
  <c r="X99" i="15"/>
  <c r="V99" i="15"/>
  <c r="N99" i="15"/>
  <c r="L99" i="15"/>
  <c r="J99" i="15"/>
  <c r="B99" i="15"/>
  <c r="Z98" i="15"/>
  <c r="X98" i="15"/>
  <c r="N98" i="15"/>
  <c r="L98" i="15"/>
  <c r="J98" i="15"/>
  <c r="B98" i="15"/>
  <c r="Z97" i="15"/>
  <c r="X97" i="15"/>
  <c r="V97" i="15"/>
  <c r="N97" i="15"/>
  <c r="L97" i="15"/>
  <c r="B97" i="15"/>
  <c r="Z96" i="15"/>
  <c r="X96" i="15"/>
  <c r="V96" i="15"/>
  <c r="N96" i="15"/>
  <c r="L96" i="15"/>
  <c r="B96" i="15"/>
  <c r="Z95" i="15"/>
  <c r="X95" i="15"/>
  <c r="N95" i="15"/>
  <c r="L95" i="15"/>
  <c r="B95" i="15"/>
  <c r="Z94" i="15"/>
  <c r="X94" i="15"/>
  <c r="N94" i="15"/>
  <c r="L94" i="15"/>
  <c r="B94" i="15"/>
  <c r="Z93" i="15"/>
  <c r="X93" i="15"/>
  <c r="V93" i="15"/>
  <c r="N93" i="15"/>
  <c r="L93" i="15"/>
  <c r="B93" i="15"/>
  <c r="Z92" i="15"/>
  <c r="X92" i="15"/>
  <c r="V92" i="15"/>
  <c r="N92" i="15"/>
  <c r="L92" i="15"/>
  <c r="B92" i="15"/>
  <c r="Z91" i="15"/>
  <c r="X91" i="15"/>
  <c r="V91" i="15"/>
  <c r="N91" i="15"/>
  <c r="L91" i="15"/>
  <c r="J91" i="15"/>
  <c r="B91" i="15"/>
  <c r="Z90" i="15"/>
  <c r="X90" i="15"/>
  <c r="N90" i="15"/>
  <c r="L90" i="15"/>
  <c r="B90" i="15"/>
  <c r="Z89" i="15"/>
  <c r="X89" i="15"/>
  <c r="V89" i="15"/>
  <c r="N89" i="15"/>
  <c r="L89" i="15"/>
  <c r="J89" i="15"/>
  <c r="B89" i="15"/>
  <c r="Z88" i="15"/>
  <c r="X88" i="15"/>
  <c r="V88" i="15"/>
  <c r="N88" i="15"/>
  <c r="L88" i="15"/>
  <c r="B88" i="15"/>
  <c r="Z87" i="15"/>
  <c r="X87" i="15"/>
  <c r="V87" i="15"/>
  <c r="N87" i="15"/>
  <c r="L87" i="15"/>
  <c r="B87" i="15"/>
  <c r="Z86" i="15"/>
  <c r="X86" i="15"/>
  <c r="N86" i="15"/>
  <c r="L86" i="15"/>
  <c r="B86" i="15"/>
  <c r="Z85" i="15"/>
  <c r="X85" i="15"/>
  <c r="N85" i="15"/>
  <c r="L85" i="15"/>
  <c r="B85" i="15"/>
  <c r="Z84" i="15"/>
  <c r="X84" i="15"/>
  <c r="V84" i="15"/>
  <c r="N84" i="15"/>
  <c r="L84" i="15"/>
  <c r="B84" i="15"/>
  <c r="Z83" i="15"/>
  <c r="X83" i="15"/>
  <c r="V83" i="15"/>
  <c r="N83" i="15"/>
  <c r="L83" i="15"/>
  <c r="B83" i="15"/>
  <c r="Z82" i="15"/>
  <c r="X82" i="15"/>
  <c r="N82" i="15"/>
  <c r="L82" i="15"/>
  <c r="J82" i="15"/>
  <c r="B82" i="15"/>
  <c r="Z81" i="15"/>
  <c r="X81" i="15"/>
  <c r="V81" i="15"/>
  <c r="N81" i="15"/>
  <c r="L81" i="15"/>
  <c r="J81" i="15"/>
  <c r="B81" i="15"/>
  <c r="Z80" i="15"/>
  <c r="X80" i="15"/>
  <c r="L80" i="15"/>
  <c r="N80" i="15" s="1"/>
  <c r="B80" i="15"/>
  <c r="T79" i="15"/>
  <c r="T120" i="15" s="1"/>
  <c r="P79" i="15"/>
  <c r="X79" i="15" s="1"/>
  <c r="Z79" i="15" s="1"/>
  <c r="L79" i="15"/>
  <c r="H79" i="15"/>
  <c r="N79" i="15" s="1"/>
  <c r="D79" i="15"/>
  <c r="Z77" i="15"/>
  <c r="X77" i="15"/>
  <c r="P77" i="15"/>
  <c r="N77" i="15"/>
  <c r="D77" i="15"/>
  <c r="L77" i="15" s="1"/>
  <c r="B77" i="15"/>
  <c r="Z76" i="15"/>
  <c r="X76" i="15"/>
  <c r="P76" i="15"/>
  <c r="N76" i="15"/>
  <c r="D76" i="15"/>
  <c r="L76" i="15" s="1"/>
  <c r="B76" i="15"/>
  <c r="Z75" i="15"/>
  <c r="X75" i="15"/>
  <c r="P75" i="15"/>
  <c r="N75" i="15"/>
  <c r="D75" i="15"/>
  <c r="L75" i="15" s="1"/>
  <c r="B75" i="15"/>
  <c r="Z74" i="15"/>
  <c r="X74" i="15"/>
  <c r="P74" i="15"/>
  <c r="N74" i="15"/>
  <c r="D74" i="15"/>
  <c r="L74" i="15" s="1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X71" i="15"/>
  <c r="P71" i="15"/>
  <c r="N71" i="15"/>
  <c r="L71" i="15"/>
  <c r="D71" i="15"/>
  <c r="B71" i="15"/>
  <c r="Z70" i="15"/>
  <c r="P70" i="15"/>
  <c r="X70" i="15" s="1"/>
  <c r="N70" i="15"/>
  <c r="D70" i="15"/>
  <c r="L70" i="15" s="1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D68" i="15"/>
  <c r="L68" i="15" s="1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X65" i="15"/>
  <c r="P65" i="15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X62" i="15"/>
  <c r="P62" i="15"/>
  <c r="N62" i="15"/>
  <c r="L62" i="15"/>
  <c r="D62" i="15"/>
  <c r="B62" i="15"/>
  <c r="Z61" i="15"/>
  <c r="P61" i="15"/>
  <c r="X61" i="15" s="1"/>
  <c r="N61" i="15"/>
  <c r="L61" i="15"/>
  <c r="D61" i="15"/>
  <c r="B61" i="15"/>
  <c r="Z60" i="15"/>
  <c r="X60" i="15"/>
  <c r="P60" i="15"/>
  <c r="N60" i="15"/>
  <c r="L60" i="15"/>
  <c r="D60" i="15"/>
  <c r="B60" i="15"/>
  <c r="Z59" i="15"/>
  <c r="P59" i="15"/>
  <c r="X59" i="15" s="1"/>
  <c r="N59" i="15"/>
  <c r="L59" i="15"/>
  <c r="D59" i="15"/>
  <c r="B59" i="15"/>
  <c r="Z58" i="15"/>
  <c r="X58" i="15"/>
  <c r="P58" i="15"/>
  <c r="N58" i="15"/>
  <c r="D58" i="15"/>
  <c r="L58" i="15" s="1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X55" i="15"/>
  <c r="P55" i="15"/>
  <c r="N55" i="15"/>
  <c r="D55" i="15"/>
  <c r="L55" i="15" s="1"/>
  <c r="B55" i="15"/>
  <c r="Z54" i="15"/>
  <c r="P54" i="15"/>
  <c r="X54" i="15" s="1"/>
  <c r="N54" i="15"/>
  <c r="L54" i="15"/>
  <c r="D54" i="15"/>
  <c r="B54" i="15"/>
  <c r="Z53" i="15"/>
  <c r="X53" i="15"/>
  <c r="P53" i="15"/>
  <c r="N53" i="15"/>
  <c r="D53" i="15"/>
  <c r="L53" i="15" s="1"/>
  <c r="B53" i="15"/>
  <c r="Z52" i="15"/>
  <c r="X52" i="15"/>
  <c r="P52" i="15"/>
  <c r="N52" i="15"/>
  <c r="D52" i="15"/>
  <c r="L52" i="15" s="1"/>
  <c r="B52" i="15"/>
  <c r="Z51" i="15"/>
  <c r="P51" i="15"/>
  <c r="X51" i="15" s="1"/>
  <c r="N51" i="15"/>
  <c r="D51" i="15"/>
  <c r="L51" i="15" s="1"/>
  <c r="B51" i="15"/>
  <c r="Z50" i="15"/>
  <c r="X50" i="15"/>
  <c r="P50" i="15"/>
  <c r="N50" i="15"/>
  <c r="D50" i="15"/>
  <c r="L50" i="15" s="1"/>
  <c r="B50" i="15"/>
  <c r="Z49" i="15"/>
  <c r="X49" i="15"/>
  <c r="P49" i="15"/>
  <c r="N49" i="15"/>
  <c r="L49" i="15"/>
  <c r="D49" i="15"/>
  <c r="B49" i="15"/>
  <c r="Z48" i="15"/>
  <c r="X48" i="15"/>
  <c r="P48" i="15"/>
  <c r="N48" i="15"/>
  <c r="L48" i="15"/>
  <c r="D48" i="15"/>
  <c r="B48" i="15"/>
  <c r="Z47" i="15"/>
  <c r="P47" i="15"/>
  <c r="X47" i="15" s="1"/>
  <c r="N47" i="15"/>
  <c r="L47" i="15"/>
  <c r="D47" i="15"/>
  <c r="B47" i="15"/>
  <c r="Z46" i="15"/>
  <c r="X46" i="15"/>
  <c r="P46" i="15"/>
  <c r="N46" i="15"/>
  <c r="L46" i="15"/>
  <c r="D46" i="15"/>
  <c r="B46" i="15"/>
  <c r="Z45" i="15"/>
  <c r="P45" i="15"/>
  <c r="X45" i="15" s="1"/>
  <c r="N45" i="15"/>
  <c r="L45" i="15"/>
  <c r="D45" i="15"/>
  <c r="B45" i="15"/>
  <c r="Z44" i="15"/>
  <c r="X44" i="15"/>
  <c r="P44" i="15"/>
  <c r="N44" i="15"/>
  <c r="D44" i="15"/>
  <c r="L44" i="15" s="1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D42" i="15"/>
  <c r="L42" i="15" s="1"/>
  <c r="B42" i="15"/>
  <c r="Z41" i="15"/>
  <c r="P41" i="15"/>
  <c r="X41" i="15" s="1"/>
  <c r="N41" i="15"/>
  <c r="L41" i="15"/>
  <c r="D41" i="15"/>
  <c r="B41" i="15"/>
  <c r="Z40" i="15"/>
  <c r="X40" i="15"/>
  <c r="P40" i="15"/>
  <c r="N40" i="15"/>
  <c r="D40" i="15"/>
  <c r="L40" i="15" s="1"/>
  <c r="B40" i="15"/>
  <c r="Z39" i="15"/>
  <c r="X39" i="15"/>
  <c r="P39" i="15"/>
  <c r="N39" i="15"/>
  <c r="D39" i="15"/>
  <c r="L39" i="15" s="1"/>
  <c r="B39" i="15"/>
  <c r="Z38" i="15"/>
  <c r="X38" i="15"/>
  <c r="P38" i="15"/>
  <c r="N38" i="15"/>
  <c r="D38" i="15"/>
  <c r="L38" i="15" s="1"/>
  <c r="B38" i="15"/>
  <c r="Z37" i="15"/>
  <c r="X37" i="15"/>
  <c r="P37" i="15"/>
  <c r="N37" i="15"/>
  <c r="L37" i="15"/>
  <c r="D37" i="15"/>
  <c r="B37" i="15"/>
  <c r="Z36" i="15"/>
  <c r="X36" i="15"/>
  <c r="P36" i="15"/>
  <c r="N36" i="15"/>
  <c r="L36" i="15"/>
  <c r="D36" i="15"/>
  <c r="B36" i="15"/>
  <c r="P35" i="15"/>
  <c r="X35" i="15" s="1"/>
  <c r="Z35" i="15" s="1"/>
  <c r="L35" i="15"/>
  <c r="N35" i="15" s="1"/>
  <c r="D35" i="15"/>
  <c r="B35" i="15"/>
  <c r="Z34" i="15"/>
  <c r="X34" i="15"/>
  <c r="P34" i="15"/>
  <c r="N34" i="15"/>
  <c r="L34" i="15"/>
  <c r="D34" i="15"/>
  <c r="B34" i="15"/>
  <c r="Z33" i="15"/>
  <c r="P33" i="15"/>
  <c r="X33" i="15" s="1"/>
  <c r="N33" i="15"/>
  <c r="L33" i="15"/>
  <c r="D33" i="15"/>
  <c r="B33" i="15"/>
  <c r="Z32" i="15"/>
  <c r="X32" i="15"/>
  <c r="P32" i="15"/>
  <c r="N32" i="15"/>
  <c r="D32" i="15"/>
  <c r="L32" i="15" s="1"/>
  <c r="B32" i="15"/>
  <c r="Z31" i="15"/>
  <c r="P31" i="15"/>
  <c r="X31" i="15" s="1"/>
  <c r="N31" i="15"/>
  <c r="L31" i="15"/>
  <c r="D31" i="15"/>
  <c r="B31" i="15"/>
  <c r="Z30" i="15"/>
  <c r="P30" i="15"/>
  <c r="X30" i="15" s="1"/>
  <c r="N30" i="15"/>
  <c r="D30" i="15"/>
  <c r="L30" i="15" s="1"/>
  <c r="B30" i="15"/>
  <c r="Z29" i="15"/>
  <c r="P29" i="15"/>
  <c r="X29" i="15" s="1"/>
  <c r="N29" i="15"/>
  <c r="L29" i="15"/>
  <c r="D29" i="15"/>
  <c r="B29" i="15"/>
  <c r="Z28" i="15"/>
  <c r="X28" i="15"/>
  <c r="P28" i="15"/>
  <c r="N28" i="15"/>
  <c r="D28" i="15"/>
  <c r="L28" i="15" s="1"/>
  <c r="B28" i="15"/>
  <c r="Z27" i="15"/>
  <c r="X27" i="15"/>
  <c r="P27" i="15"/>
  <c r="N27" i="15"/>
  <c r="D27" i="15"/>
  <c r="L27" i="15" s="1"/>
  <c r="B27" i="15"/>
  <c r="Z26" i="15"/>
  <c r="X26" i="15"/>
  <c r="P26" i="15"/>
  <c r="N26" i="15"/>
  <c r="D26" i="15"/>
  <c r="L26" i="15" s="1"/>
  <c r="B26" i="15"/>
  <c r="Z25" i="15"/>
  <c r="X25" i="15"/>
  <c r="P25" i="15"/>
  <c r="N25" i="15"/>
  <c r="L25" i="15"/>
  <c r="D25" i="15"/>
  <c r="B25" i="15"/>
  <c r="Z24" i="15"/>
  <c r="X24" i="15"/>
  <c r="P24" i="15"/>
  <c r="N24" i="15"/>
  <c r="L24" i="15"/>
  <c r="D24" i="15"/>
  <c r="B24" i="15"/>
  <c r="Z23" i="15"/>
  <c r="P23" i="15"/>
  <c r="X23" i="15" s="1"/>
  <c r="N23" i="15"/>
  <c r="L23" i="15"/>
  <c r="D23" i="15"/>
  <c r="B23" i="15"/>
  <c r="Z22" i="15"/>
  <c r="X22" i="15"/>
  <c r="P22" i="15"/>
  <c r="N22" i="15"/>
  <c r="L22" i="15"/>
  <c r="D22" i="15"/>
  <c r="B22" i="15"/>
  <c r="Z21" i="15"/>
  <c r="P21" i="15"/>
  <c r="X21" i="15" s="1"/>
  <c r="N21" i="15"/>
  <c r="L21" i="15"/>
  <c r="D21" i="15"/>
  <c r="B21" i="15"/>
  <c r="Z20" i="15"/>
  <c r="X20" i="15"/>
  <c r="P20" i="15"/>
  <c r="N20" i="15"/>
  <c r="D20" i="15"/>
  <c r="L20" i="15" s="1"/>
  <c r="B20" i="15"/>
  <c r="Z19" i="15"/>
  <c r="P19" i="15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P17" i="15"/>
  <c r="X17" i="15" s="1"/>
  <c r="N17" i="15"/>
  <c r="L17" i="15"/>
  <c r="D17" i="15"/>
  <c r="B17" i="15"/>
  <c r="Z16" i="15"/>
  <c r="X16" i="15"/>
  <c r="P16" i="15"/>
  <c r="N16" i="15"/>
  <c r="D16" i="15"/>
  <c r="L16" i="15" s="1"/>
  <c r="B16" i="15"/>
  <c r="Z15" i="15"/>
  <c r="X15" i="15"/>
  <c r="P15" i="15"/>
  <c r="N15" i="15"/>
  <c r="D15" i="15"/>
  <c r="L15" i="15" s="1"/>
  <c r="B15" i="15"/>
  <c r="Z14" i="15"/>
  <c r="X14" i="15"/>
  <c r="P14" i="15"/>
  <c r="N14" i="15"/>
  <c r="D14" i="15"/>
  <c r="L14" i="15" s="1"/>
  <c r="B14" i="15"/>
  <c r="Z13" i="15"/>
  <c r="X13" i="15"/>
  <c r="P13" i="15"/>
  <c r="L13" i="15"/>
  <c r="N13" i="15" s="1"/>
  <c r="D13" i="15"/>
  <c r="B13" i="15"/>
  <c r="T12" i="15"/>
  <c r="H12" i="15"/>
  <c r="J207" i="15" s="1"/>
  <c r="D4" i="15"/>
  <c r="Z237" i="12"/>
  <c r="X237" i="12"/>
  <c r="V237" i="12"/>
  <c r="N237" i="12"/>
  <c r="L237" i="12"/>
  <c r="Z233" i="12"/>
  <c r="P233" i="12"/>
  <c r="X233" i="12" s="1"/>
  <c r="N233" i="12"/>
  <c r="L233" i="12"/>
  <c r="D233" i="12"/>
  <c r="B233" i="12"/>
  <c r="Z232" i="12"/>
  <c r="P232" i="12"/>
  <c r="X232" i="12" s="1"/>
  <c r="N232" i="12"/>
  <c r="J232" i="12"/>
  <c r="D232" i="12"/>
  <c r="L232" i="12" s="1"/>
  <c r="B232" i="12"/>
  <c r="P231" i="12"/>
  <c r="X231" i="12" s="1"/>
  <c r="Z231" i="12" s="1"/>
  <c r="L231" i="12"/>
  <c r="N231" i="12" s="1"/>
  <c r="D231" i="12"/>
  <c r="B231" i="12"/>
  <c r="Z230" i="12"/>
  <c r="X230" i="12"/>
  <c r="P230" i="12"/>
  <c r="P228" i="12" s="1"/>
  <c r="X228" i="12" s="1"/>
  <c r="D230" i="12"/>
  <c r="L230" i="12" s="1"/>
  <c r="N230" i="12" s="1"/>
  <c r="B230" i="12"/>
  <c r="Z229" i="12"/>
  <c r="X229" i="12"/>
  <c r="P229" i="12"/>
  <c r="N229" i="12"/>
  <c r="L229" i="12"/>
  <c r="D229" i="12"/>
  <c r="B229" i="12"/>
  <c r="T228" i="12"/>
  <c r="H228" i="12"/>
  <c r="N228" i="12" s="1"/>
  <c r="D228" i="12"/>
  <c r="L228" i="12" s="1"/>
  <c r="X226" i="12"/>
  <c r="Z226" i="12" s="1"/>
  <c r="N226" i="12"/>
  <c r="L226" i="12"/>
  <c r="B226" i="12"/>
  <c r="V225" i="12"/>
  <c r="T225" i="12"/>
  <c r="P225" i="12"/>
  <c r="X225" i="12" s="1"/>
  <c r="Z225" i="12" s="1"/>
  <c r="H225" i="12"/>
  <c r="D225" i="12"/>
  <c r="L225" i="12" s="1"/>
  <c r="N225" i="12" s="1"/>
  <c r="B225" i="12"/>
  <c r="X224" i="12"/>
  <c r="Z224" i="12" s="1"/>
  <c r="N224" i="12"/>
  <c r="L224" i="12"/>
  <c r="B224" i="12"/>
  <c r="Z223" i="12"/>
  <c r="X223" i="12"/>
  <c r="N223" i="12"/>
  <c r="L223" i="12"/>
  <c r="B223" i="12"/>
  <c r="Z222" i="12"/>
  <c r="X222" i="12"/>
  <c r="N222" i="12"/>
  <c r="L222" i="12"/>
  <c r="B222" i="12"/>
  <c r="Z221" i="12"/>
  <c r="X221" i="12"/>
  <c r="T221" i="12"/>
  <c r="P221" i="12"/>
  <c r="N221" i="12"/>
  <c r="L221" i="12"/>
  <c r="H221" i="12"/>
  <c r="D221" i="12"/>
  <c r="B221" i="12"/>
  <c r="Z220" i="12"/>
  <c r="X220" i="12"/>
  <c r="N220" i="12"/>
  <c r="L220" i="12"/>
  <c r="B220" i="12"/>
  <c r="T219" i="12"/>
  <c r="P219" i="12"/>
  <c r="X219" i="12" s="1"/>
  <c r="Z219" i="12" s="1"/>
  <c r="J219" i="12"/>
  <c r="H219" i="12"/>
  <c r="N219" i="12" s="1"/>
  <c r="D219" i="12"/>
  <c r="L219" i="12" s="1"/>
  <c r="B219" i="12"/>
  <c r="X218" i="12"/>
  <c r="Z218" i="12" s="1"/>
  <c r="N218" i="12"/>
  <c r="L218" i="12"/>
  <c r="B218" i="12"/>
  <c r="Z217" i="12"/>
  <c r="X217" i="12"/>
  <c r="V217" i="12"/>
  <c r="N217" i="12"/>
  <c r="L217" i="12"/>
  <c r="B217" i="12"/>
  <c r="T216" i="12"/>
  <c r="P216" i="12"/>
  <c r="X216" i="12" s="1"/>
  <c r="L216" i="12"/>
  <c r="H216" i="12"/>
  <c r="N216" i="12" s="1"/>
  <c r="D216" i="12"/>
  <c r="B216" i="12"/>
  <c r="Z215" i="12"/>
  <c r="X215" i="12"/>
  <c r="N215" i="12"/>
  <c r="L215" i="12"/>
  <c r="B215" i="12"/>
  <c r="Z214" i="12"/>
  <c r="X214" i="12"/>
  <c r="L214" i="12"/>
  <c r="N214" i="12" s="1"/>
  <c r="B214" i="12"/>
  <c r="Z213" i="12"/>
  <c r="X213" i="12"/>
  <c r="L213" i="12"/>
  <c r="N213" i="12" s="1"/>
  <c r="J213" i="12"/>
  <c r="B213" i="12"/>
  <c r="X212" i="12"/>
  <c r="Z212" i="12" s="1"/>
  <c r="L212" i="12"/>
  <c r="N212" i="12" s="1"/>
  <c r="B212" i="12"/>
  <c r="Z211" i="12"/>
  <c r="X211" i="12"/>
  <c r="N211" i="12"/>
  <c r="L211" i="12"/>
  <c r="B211" i="12"/>
  <c r="Z210" i="12"/>
  <c r="X210" i="12"/>
  <c r="L210" i="12"/>
  <c r="N210" i="12" s="1"/>
  <c r="B210" i="12"/>
  <c r="Z209" i="12"/>
  <c r="X209" i="12"/>
  <c r="L209" i="12"/>
  <c r="N209" i="12" s="1"/>
  <c r="J209" i="12"/>
  <c r="B209" i="12"/>
  <c r="X208" i="12"/>
  <c r="Z208" i="12" s="1"/>
  <c r="L208" i="12"/>
  <c r="N208" i="12" s="1"/>
  <c r="B208" i="12"/>
  <c r="Z207" i="12"/>
  <c r="X207" i="12"/>
  <c r="N207" i="12"/>
  <c r="L207" i="12"/>
  <c r="B207" i="12"/>
  <c r="T206" i="12"/>
  <c r="P206" i="12"/>
  <c r="X206" i="12" s="1"/>
  <c r="L206" i="12"/>
  <c r="H206" i="12"/>
  <c r="D206" i="12"/>
  <c r="B206" i="12"/>
  <c r="X205" i="12"/>
  <c r="Z205" i="12" s="1"/>
  <c r="N205" i="12"/>
  <c r="L205" i="12"/>
  <c r="J205" i="12"/>
  <c r="B205" i="12"/>
  <c r="X204" i="12"/>
  <c r="Z204" i="12" s="1"/>
  <c r="L204" i="12"/>
  <c r="N204" i="12" s="1"/>
  <c r="B204" i="12"/>
  <c r="Z203" i="12"/>
  <c r="T203" i="12"/>
  <c r="P203" i="12"/>
  <c r="X203" i="12" s="1"/>
  <c r="L203" i="12"/>
  <c r="J203" i="12"/>
  <c r="H203" i="12"/>
  <c r="N203" i="12" s="1"/>
  <c r="D203" i="12"/>
  <c r="B203" i="12"/>
  <c r="X202" i="12"/>
  <c r="Z202" i="12" s="1"/>
  <c r="N202" i="12"/>
  <c r="L202" i="12"/>
  <c r="B202" i="12"/>
  <c r="Z201" i="12"/>
  <c r="X201" i="12"/>
  <c r="V201" i="12"/>
  <c r="N201" i="12"/>
  <c r="L201" i="12"/>
  <c r="B201" i="12"/>
  <c r="X200" i="12"/>
  <c r="Z200" i="12" s="1"/>
  <c r="L200" i="12"/>
  <c r="N200" i="12" s="1"/>
  <c r="B200" i="12"/>
  <c r="Z199" i="12"/>
  <c r="X199" i="12"/>
  <c r="N199" i="12"/>
  <c r="L199" i="12"/>
  <c r="B199" i="12"/>
  <c r="X198" i="12"/>
  <c r="Z198" i="12" s="1"/>
  <c r="N198" i="12"/>
  <c r="L198" i="12"/>
  <c r="B198" i="12"/>
  <c r="V197" i="12"/>
  <c r="T197" i="12"/>
  <c r="P197" i="12"/>
  <c r="X197" i="12" s="1"/>
  <c r="Z197" i="12" s="1"/>
  <c r="H197" i="12"/>
  <c r="D197" i="12"/>
  <c r="L197" i="12" s="1"/>
  <c r="N197" i="12" s="1"/>
  <c r="B197" i="12"/>
  <c r="X196" i="12"/>
  <c r="Z196" i="12" s="1"/>
  <c r="L196" i="12"/>
  <c r="N196" i="12" s="1"/>
  <c r="B196" i="12"/>
  <c r="Z195" i="12"/>
  <c r="X195" i="12"/>
  <c r="N195" i="12"/>
  <c r="L195" i="12"/>
  <c r="B195" i="12"/>
  <c r="Z194" i="12"/>
  <c r="X194" i="12"/>
  <c r="L194" i="12"/>
  <c r="N194" i="12" s="1"/>
  <c r="B194" i="12"/>
  <c r="Z193" i="12"/>
  <c r="X193" i="12"/>
  <c r="L193" i="12"/>
  <c r="N193" i="12" s="1"/>
  <c r="J193" i="12"/>
  <c r="B193" i="12"/>
  <c r="X192" i="12"/>
  <c r="T192" i="12"/>
  <c r="Z192" i="12" s="1"/>
  <c r="P192" i="12"/>
  <c r="H192" i="12"/>
  <c r="N192" i="12" s="1"/>
  <c r="D192" i="12"/>
  <c r="L192" i="12" s="1"/>
  <c r="B192" i="12"/>
  <c r="Z191" i="12"/>
  <c r="X191" i="12"/>
  <c r="N191" i="12"/>
  <c r="L191" i="12"/>
  <c r="B191" i="12"/>
  <c r="X190" i="12"/>
  <c r="Z190" i="12" s="1"/>
  <c r="L190" i="12"/>
  <c r="N190" i="12" s="1"/>
  <c r="B190" i="12"/>
  <c r="X189" i="12"/>
  <c r="Z189" i="12" s="1"/>
  <c r="V189" i="12"/>
  <c r="N189" i="12"/>
  <c r="L189" i="12"/>
  <c r="J189" i="12"/>
  <c r="B189" i="12"/>
  <c r="X188" i="12"/>
  <c r="Z188" i="12" s="1"/>
  <c r="N188" i="12"/>
  <c r="L188" i="12"/>
  <c r="B188" i="12"/>
  <c r="Z187" i="12"/>
  <c r="T187" i="12"/>
  <c r="P187" i="12"/>
  <c r="X187" i="12" s="1"/>
  <c r="J187" i="12"/>
  <c r="H187" i="12"/>
  <c r="D187" i="12"/>
  <c r="L187" i="12" s="1"/>
  <c r="B187" i="12"/>
  <c r="X186" i="12"/>
  <c r="Z186" i="12" s="1"/>
  <c r="N186" i="12"/>
  <c r="L186" i="12"/>
  <c r="B186" i="12"/>
  <c r="V185" i="12"/>
  <c r="T185" i="12"/>
  <c r="P185" i="12"/>
  <c r="X185" i="12" s="1"/>
  <c r="Z185" i="12" s="1"/>
  <c r="H185" i="12"/>
  <c r="D185" i="12"/>
  <c r="L185" i="12" s="1"/>
  <c r="N185" i="12" s="1"/>
  <c r="B185" i="12"/>
  <c r="X184" i="12"/>
  <c r="Z184" i="12" s="1"/>
  <c r="L184" i="12"/>
  <c r="N184" i="12" s="1"/>
  <c r="B184" i="12"/>
  <c r="Z183" i="12"/>
  <c r="X183" i="12"/>
  <c r="T183" i="12"/>
  <c r="P183" i="12"/>
  <c r="H183" i="12"/>
  <c r="D183" i="12"/>
  <c r="L183" i="12" s="1"/>
  <c r="N183" i="12" s="1"/>
  <c r="B183" i="12"/>
  <c r="Z182" i="12"/>
  <c r="X182" i="12"/>
  <c r="N182" i="12"/>
  <c r="L182" i="12"/>
  <c r="B182" i="12"/>
  <c r="X181" i="12"/>
  <c r="Z181" i="12" s="1"/>
  <c r="V181" i="12"/>
  <c r="N181" i="12"/>
  <c r="L181" i="12"/>
  <c r="J181" i="12"/>
  <c r="B181" i="12"/>
  <c r="T180" i="12"/>
  <c r="P180" i="12"/>
  <c r="X180" i="12" s="1"/>
  <c r="Z180" i="12" s="1"/>
  <c r="H180" i="12"/>
  <c r="D180" i="12"/>
  <c r="B180" i="12"/>
  <c r="Z179" i="12"/>
  <c r="X179" i="12"/>
  <c r="N179" i="12"/>
  <c r="L179" i="12"/>
  <c r="J179" i="12"/>
  <c r="B179" i="12"/>
  <c r="X178" i="12"/>
  <c r="T178" i="12"/>
  <c r="Z178" i="12" s="1"/>
  <c r="P178" i="12"/>
  <c r="H178" i="12"/>
  <c r="N178" i="12" s="1"/>
  <c r="D178" i="12"/>
  <c r="L178" i="12" s="1"/>
  <c r="B178" i="12"/>
  <c r="Z177" i="12"/>
  <c r="X177" i="12"/>
  <c r="L177" i="12"/>
  <c r="N177" i="12" s="1"/>
  <c r="J177" i="12"/>
  <c r="B177" i="12"/>
  <c r="X176" i="12"/>
  <c r="T176" i="12"/>
  <c r="P176" i="12"/>
  <c r="H176" i="12"/>
  <c r="N176" i="12" s="1"/>
  <c r="D176" i="12"/>
  <c r="L176" i="12" s="1"/>
  <c r="B176" i="12"/>
  <c r="Z175" i="12"/>
  <c r="X175" i="12"/>
  <c r="N175" i="12"/>
  <c r="L175" i="12"/>
  <c r="B175" i="12"/>
  <c r="X174" i="12"/>
  <c r="Z174" i="12" s="1"/>
  <c r="N174" i="12"/>
  <c r="L174" i="12"/>
  <c r="B174" i="12"/>
  <c r="X173" i="12"/>
  <c r="Z173" i="12" s="1"/>
  <c r="V173" i="12"/>
  <c r="N173" i="12"/>
  <c r="L173" i="12"/>
  <c r="J173" i="12"/>
  <c r="B173" i="12"/>
  <c r="T172" i="12"/>
  <c r="P172" i="12"/>
  <c r="X172" i="12" s="1"/>
  <c r="Z172" i="12" s="1"/>
  <c r="H172" i="12"/>
  <c r="D172" i="12"/>
  <c r="B172" i="12"/>
  <c r="X171" i="12"/>
  <c r="Z171" i="12" s="1"/>
  <c r="N171" i="12"/>
  <c r="L171" i="12"/>
  <c r="J171" i="12"/>
  <c r="B171" i="12"/>
  <c r="X170" i="12"/>
  <c r="Z170" i="12" s="1"/>
  <c r="N170" i="12"/>
  <c r="L170" i="12"/>
  <c r="B170" i="12"/>
  <c r="V169" i="12"/>
  <c r="T169" i="12"/>
  <c r="P169" i="12"/>
  <c r="X169" i="12" s="1"/>
  <c r="Z169" i="12" s="1"/>
  <c r="H169" i="12"/>
  <c r="D169" i="12"/>
  <c r="L169" i="12" s="1"/>
  <c r="N169" i="12" s="1"/>
  <c r="B169" i="12"/>
  <c r="X168" i="12"/>
  <c r="Z168" i="12" s="1"/>
  <c r="N168" i="12"/>
  <c r="L168" i="12"/>
  <c r="B168" i="12"/>
  <c r="Z167" i="12"/>
  <c r="X167" i="12"/>
  <c r="V167" i="12"/>
  <c r="T167" i="12"/>
  <c r="P167" i="12"/>
  <c r="N167" i="12"/>
  <c r="L167" i="12"/>
  <c r="H167" i="12"/>
  <c r="D167" i="12"/>
  <c r="B167" i="12"/>
  <c r="X166" i="12"/>
  <c r="Z166" i="12" s="1"/>
  <c r="L166" i="12"/>
  <c r="N166" i="12" s="1"/>
  <c r="B166" i="12"/>
  <c r="V165" i="12"/>
  <c r="T165" i="12"/>
  <c r="P165" i="12"/>
  <c r="N165" i="12"/>
  <c r="H165" i="12"/>
  <c r="D165" i="12"/>
  <c r="L165" i="12" s="1"/>
  <c r="B165" i="12"/>
  <c r="X164" i="12"/>
  <c r="Z164" i="12" s="1"/>
  <c r="L164" i="12"/>
  <c r="N164" i="12" s="1"/>
  <c r="B164" i="12"/>
  <c r="Z163" i="12"/>
  <c r="X163" i="12"/>
  <c r="N163" i="12"/>
  <c r="L163" i="12"/>
  <c r="J163" i="12"/>
  <c r="B163" i="12"/>
  <c r="X162" i="12"/>
  <c r="T162" i="12"/>
  <c r="Z162" i="12" s="1"/>
  <c r="P162" i="12"/>
  <c r="H162" i="12"/>
  <c r="D162" i="12"/>
  <c r="L162" i="12" s="1"/>
  <c r="B162" i="12"/>
  <c r="Z161" i="12"/>
  <c r="X161" i="12"/>
  <c r="N161" i="12"/>
  <c r="L161" i="12"/>
  <c r="J161" i="12"/>
  <c r="B161" i="12"/>
  <c r="X160" i="12"/>
  <c r="Z160" i="12" s="1"/>
  <c r="N160" i="12"/>
  <c r="L160" i="12"/>
  <c r="B160" i="12"/>
  <c r="Z159" i="12"/>
  <c r="X159" i="12"/>
  <c r="V159" i="12"/>
  <c r="T159" i="12"/>
  <c r="P159" i="12"/>
  <c r="N159" i="12"/>
  <c r="L159" i="12"/>
  <c r="H159" i="12"/>
  <c r="D159" i="12"/>
  <c r="B159" i="12"/>
  <c r="X158" i="12"/>
  <c r="Z158" i="12" s="1"/>
  <c r="L158" i="12"/>
  <c r="N158" i="12" s="1"/>
  <c r="B158" i="12"/>
  <c r="Z157" i="12"/>
  <c r="X157" i="12"/>
  <c r="V157" i="12"/>
  <c r="N157" i="12"/>
  <c r="L157" i="12"/>
  <c r="J157" i="12"/>
  <c r="B157" i="12"/>
  <c r="T156" i="12"/>
  <c r="P156" i="12"/>
  <c r="X156" i="12" s="1"/>
  <c r="Z156" i="12" s="1"/>
  <c r="H156" i="12"/>
  <c r="D156" i="12"/>
  <c r="B156" i="12"/>
  <c r="X155" i="12"/>
  <c r="Z155" i="12" s="1"/>
  <c r="N155" i="12"/>
  <c r="L155" i="12"/>
  <c r="J155" i="12"/>
  <c r="B155" i="12"/>
  <c r="X154" i="12"/>
  <c r="T154" i="12"/>
  <c r="Z154" i="12" s="1"/>
  <c r="P154" i="12"/>
  <c r="H154" i="12"/>
  <c r="D154" i="12"/>
  <c r="L154" i="12" s="1"/>
  <c r="B154" i="12"/>
  <c r="Z153" i="12"/>
  <c r="X153" i="12"/>
  <c r="L153" i="12"/>
  <c r="N153" i="12" s="1"/>
  <c r="J153" i="12"/>
  <c r="B153" i="12"/>
  <c r="X152" i="12"/>
  <c r="Z152" i="12" s="1"/>
  <c r="N152" i="12"/>
  <c r="L152" i="12"/>
  <c r="B152" i="12"/>
  <c r="Z151" i="12"/>
  <c r="X151" i="12"/>
  <c r="V151" i="12"/>
  <c r="T151" i="12"/>
  <c r="P151" i="12"/>
  <c r="N151" i="12"/>
  <c r="L151" i="12"/>
  <c r="H151" i="12"/>
  <c r="D151" i="12"/>
  <c r="B151" i="12"/>
  <c r="X150" i="12"/>
  <c r="Z150" i="12" s="1"/>
  <c r="L150" i="12"/>
  <c r="N150" i="12" s="1"/>
  <c r="B150" i="12"/>
  <c r="V149" i="12"/>
  <c r="T149" i="12"/>
  <c r="P149" i="12"/>
  <c r="H149" i="12"/>
  <c r="D149" i="12"/>
  <c r="L149" i="12" s="1"/>
  <c r="N149" i="12" s="1"/>
  <c r="B149" i="12"/>
  <c r="Z148" i="12"/>
  <c r="X148" i="12"/>
  <c r="N148" i="12"/>
  <c r="L148" i="12"/>
  <c r="B148" i="12"/>
  <c r="Z147" i="12"/>
  <c r="X147" i="12"/>
  <c r="N147" i="12"/>
  <c r="L147" i="12"/>
  <c r="J147" i="12"/>
  <c r="B147" i="12"/>
  <c r="X146" i="12"/>
  <c r="Z146" i="12" s="1"/>
  <c r="N146" i="12"/>
  <c r="L146" i="12"/>
  <c r="B146" i="12"/>
  <c r="Z145" i="12"/>
  <c r="X145" i="12"/>
  <c r="V145" i="12"/>
  <c r="N145" i="12"/>
  <c r="L145" i="12"/>
  <c r="B145" i="12"/>
  <c r="Z144" i="12"/>
  <c r="X144" i="12"/>
  <c r="N144" i="12"/>
  <c r="L144" i="12"/>
  <c r="B144" i="12"/>
  <c r="X143" i="12"/>
  <c r="Z143" i="12" s="1"/>
  <c r="N143" i="12"/>
  <c r="L143" i="12"/>
  <c r="J143" i="12"/>
  <c r="B143" i="12"/>
  <c r="X142" i="12"/>
  <c r="Z142" i="12" s="1"/>
  <c r="N142" i="12"/>
  <c r="L142" i="12"/>
  <c r="B142" i="12"/>
  <c r="Z141" i="12"/>
  <c r="X141" i="12"/>
  <c r="V141" i="12"/>
  <c r="N141" i="12"/>
  <c r="L141" i="12"/>
  <c r="B141" i="12"/>
  <c r="X140" i="12"/>
  <c r="Z140" i="12" s="1"/>
  <c r="L140" i="12"/>
  <c r="N140" i="12" s="1"/>
  <c r="B140" i="12"/>
  <c r="X139" i="12"/>
  <c r="Z139" i="12" s="1"/>
  <c r="N139" i="12"/>
  <c r="L139" i="12"/>
  <c r="J139" i="12"/>
  <c r="B139" i="12"/>
  <c r="X138" i="12"/>
  <c r="T138" i="12"/>
  <c r="Z138" i="12" s="1"/>
  <c r="P138" i="12"/>
  <c r="H138" i="12"/>
  <c r="D138" i="12"/>
  <c r="L138" i="12" s="1"/>
  <c r="B138" i="12"/>
  <c r="X137" i="12"/>
  <c r="Z137" i="12" s="1"/>
  <c r="L137" i="12"/>
  <c r="N137" i="12" s="1"/>
  <c r="J137" i="12"/>
  <c r="B137" i="12"/>
  <c r="X136" i="12"/>
  <c r="Z136" i="12" s="1"/>
  <c r="N136" i="12"/>
  <c r="L136" i="12"/>
  <c r="B136" i="12"/>
  <c r="Z135" i="12"/>
  <c r="X135" i="12"/>
  <c r="V135" i="12"/>
  <c r="N135" i="12"/>
  <c r="L135" i="12"/>
  <c r="B135" i="12"/>
  <c r="Z134" i="12"/>
  <c r="X134" i="12"/>
  <c r="N134" i="12"/>
  <c r="L134" i="12"/>
  <c r="B134" i="12"/>
  <c r="Z133" i="12"/>
  <c r="X133" i="12"/>
  <c r="N133" i="12"/>
  <c r="L133" i="12"/>
  <c r="J133" i="12"/>
  <c r="B133" i="12"/>
  <c r="X132" i="12"/>
  <c r="Z132" i="12" s="1"/>
  <c r="N132" i="12"/>
  <c r="L132" i="12"/>
  <c r="B132" i="12"/>
  <c r="Z131" i="12"/>
  <c r="X131" i="12"/>
  <c r="V131" i="12"/>
  <c r="N131" i="12"/>
  <c r="L131" i="12"/>
  <c r="B131" i="12"/>
  <c r="Z130" i="12"/>
  <c r="X130" i="12"/>
  <c r="L130" i="12"/>
  <c r="N130" i="12" s="1"/>
  <c r="B130" i="12"/>
  <c r="X129" i="12"/>
  <c r="Z129" i="12" s="1"/>
  <c r="L129" i="12"/>
  <c r="N129" i="12" s="1"/>
  <c r="J129" i="12"/>
  <c r="B129" i="12"/>
  <c r="X128" i="12"/>
  <c r="Z128" i="12" s="1"/>
  <c r="N128" i="12"/>
  <c r="L128" i="12"/>
  <c r="B128" i="12"/>
  <c r="Z127" i="12"/>
  <c r="X127" i="12"/>
  <c r="V127" i="12"/>
  <c r="T127" i="12"/>
  <c r="P127" i="12"/>
  <c r="L127" i="12"/>
  <c r="N127" i="12" s="1"/>
  <c r="H127" i="12"/>
  <c r="D127" i="12"/>
  <c r="B127" i="12"/>
  <c r="T126" i="12"/>
  <c r="P126" i="12"/>
  <c r="H126" i="12"/>
  <c r="D126" i="12"/>
  <c r="L126" i="12" s="1"/>
  <c r="N126" i="12" s="1"/>
  <c r="T124" i="12"/>
  <c r="Z122" i="12"/>
  <c r="X122" i="12"/>
  <c r="N122" i="12"/>
  <c r="L122" i="12"/>
  <c r="B122" i="12"/>
  <c r="Z121" i="12"/>
  <c r="X121" i="12"/>
  <c r="V121" i="12"/>
  <c r="N121" i="12"/>
  <c r="L121" i="12"/>
  <c r="J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V117" i="12"/>
  <c r="N117" i="12"/>
  <c r="L117" i="12"/>
  <c r="J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V113" i="12"/>
  <c r="N113" i="12"/>
  <c r="L113" i="12"/>
  <c r="J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J110" i="12"/>
  <c r="B110" i="12"/>
  <c r="Z109" i="12"/>
  <c r="X109" i="12"/>
  <c r="V109" i="12"/>
  <c r="N109" i="12"/>
  <c r="L109" i="12"/>
  <c r="J109" i="12"/>
  <c r="B109" i="12"/>
  <c r="Z108" i="12"/>
  <c r="X108" i="12"/>
  <c r="N108" i="12"/>
  <c r="L108" i="12"/>
  <c r="B108" i="12"/>
  <c r="Z107" i="12"/>
  <c r="X107" i="12"/>
  <c r="N107" i="12"/>
  <c r="L107" i="12"/>
  <c r="B107" i="12"/>
  <c r="Z106" i="12"/>
  <c r="X106" i="12"/>
  <c r="N106" i="12"/>
  <c r="L106" i="12"/>
  <c r="J106" i="12"/>
  <c r="B106" i="12"/>
  <c r="Z105" i="12"/>
  <c r="X105" i="12"/>
  <c r="V105" i="12"/>
  <c r="N105" i="12"/>
  <c r="L105" i="12"/>
  <c r="J105" i="12"/>
  <c r="B105" i="12"/>
  <c r="Z104" i="12"/>
  <c r="X104" i="12"/>
  <c r="N104" i="12"/>
  <c r="L104" i="12"/>
  <c r="B104" i="12"/>
  <c r="Z103" i="12"/>
  <c r="X103" i="12"/>
  <c r="N103" i="12"/>
  <c r="L103" i="12"/>
  <c r="B103" i="12"/>
  <c r="Z102" i="12"/>
  <c r="X102" i="12"/>
  <c r="N102" i="12"/>
  <c r="L102" i="12"/>
  <c r="J102" i="12"/>
  <c r="B102" i="12"/>
  <c r="Z101" i="12"/>
  <c r="X101" i="12"/>
  <c r="V101" i="12"/>
  <c r="N101" i="12"/>
  <c r="L101" i="12"/>
  <c r="J101" i="12"/>
  <c r="B101" i="12"/>
  <c r="Z100" i="12"/>
  <c r="X100" i="12"/>
  <c r="N100" i="12"/>
  <c r="L100" i="12"/>
  <c r="B100" i="12"/>
  <c r="Z99" i="12"/>
  <c r="X99" i="12"/>
  <c r="N99" i="12"/>
  <c r="L99" i="12"/>
  <c r="B99" i="12"/>
  <c r="Z98" i="12"/>
  <c r="X98" i="12"/>
  <c r="N98" i="12"/>
  <c r="L98" i="12"/>
  <c r="J98" i="12"/>
  <c r="B98" i="12"/>
  <c r="Z97" i="12"/>
  <c r="X97" i="12"/>
  <c r="V97" i="12"/>
  <c r="N97" i="12"/>
  <c r="L97" i="12"/>
  <c r="J97" i="12"/>
  <c r="B97" i="12"/>
  <c r="Z96" i="12"/>
  <c r="X96" i="12"/>
  <c r="N96" i="12"/>
  <c r="L96" i="12"/>
  <c r="B96" i="12"/>
  <c r="Z95" i="12"/>
  <c r="X95" i="12"/>
  <c r="V95" i="12"/>
  <c r="N95" i="12"/>
  <c r="L95" i="12"/>
  <c r="B95" i="12"/>
  <c r="Z94" i="12"/>
  <c r="X94" i="12"/>
  <c r="N94" i="12"/>
  <c r="L94" i="12"/>
  <c r="J94" i="12"/>
  <c r="B94" i="12"/>
  <c r="Z93" i="12"/>
  <c r="X93" i="12"/>
  <c r="V93" i="12"/>
  <c r="N93" i="12"/>
  <c r="L93" i="12"/>
  <c r="J93" i="12"/>
  <c r="B93" i="12"/>
  <c r="Z92" i="12"/>
  <c r="X92" i="12"/>
  <c r="V92" i="12"/>
  <c r="N92" i="12"/>
  <c r="L92" i="12"/>
  <c r="B92" i="12"/>
  <c r="Z91" i="12"/>
  <c r="X91" i="12"/>
  <c r="V91" i="12"/>
  <c r="N91" i="12"/>
  <c r="L91" i="12"/>
  <c r="B91" i="12"/>
  <c r="Z90" i="12"/>
  <c r="X90" i="12"/>
  <c r="N90" i="12"/>
  <c r="L90" i="12"/>
  <c r="J90" i="12"/>
  <c r="B90" i="12"/>
  <c r="Z89" i="12"/>
  <c r="X89" i="12"/>
  <c r="V89" i="12"/>
  <c r="N89" i="12"/>
  <c r="L89" i="12"/>
  <c r="J89" i="12"/>
  <c r="B89" i="12"/>
  <c r="Z88" i="12"/>
  <c r="X88" i="12"/>
  <c r="V88" i="12"/>
  <c r="N88" i="12"/>
  <c r="L88" i="12"/>
  <c r="B88" i="12"/>
  <c r="Z87" i="12"/>
  <c r="X87" i="12"/>
  <c r="V87" i="12"/>
  <c r="N87" i="12"/>
  <c r="L87" i="12"/>
  <c r="B87" i="12"/>
  <c r="Z86" i="12"/>
  <c r="X86" i="12"/>
  <c r="V86" i="12"/>
  <c r="N86" i="12"/>
  <c r="L86" i="12"/>
  <c r="J86" i="12"/>
  <c r="B86" i="12"/>
  <c r="Z85" i="12"/>
  <c r="X85" i="12"/>
  <c r="V85" i="12"/>
  <c r="N85" i="12"/>
  <c r="L85" i="12"/>
  <c r="J85" i="12"/>
  <c r="B85" i="12"/>
  <c r="Z84" i="12"/>
  <c r="X84" i="12"/>
  <c r="V84" i="12"/>
  <c r="N84" i="12"/>
  <c r="L84" i="12"/>
  <c r="B84" i="12"/>
  <c r="Z83" i="12"/>
  <c r="X83" i="12"/>
  <c r="V83" i="12"/>
  <c r="N83" i="12"/>
  <c r="L83" i="12"/>
  <c r="B83" i="12"/>
  <c r="X82" i="12"/>
  <c r="Z82" i="12" s="1"/>
  <c r="V82" i="12"/>
  <c r="L82" i="12"/>
  <c r="N82" i="12" s="1"/>
  <c r="J82" i="12"/>
  <c r="B82" i="12"/>
  <c r="V81" i="12"/>
  <c r="T81" i="12"/>
  <c r="P81" i="12"/>
  <c r="X81" i="12" s="1"/>
  <c r="N81" i="12"/>
  <c r="J81" i="12"/>
  <c r="H81" i="12"/>
  <c r="D81" i="12"/>
  <c r="L81" i="12" s="1"/>
  <c r="Z79" i="12"/>
  <c r="P79" i="12"/>
  <c r="X79" i="12" s="1"/>
  <c r="N79" i="12"/>
  <c r="L79" i="12"/>
  <c r="D79" i="12"/>
  <c r="B79" i="12"/>
  <c r="Z78" i="12"/>
  <c r="X78" i="12"/>
  <c r="P78" i="12"/>
  <c r="N78" i="12"/>
  <c r="L78" i="12"/>
  <c r="D78" i="12"/>
  <c r="B78" i="12"/>
  <c r="Z77" i="12"/>
  <c r="P77" i="12"/>
  <c r="X77" i="12" s="1"/>
  <c r="N77" i="12"/>
  <c r="L77" i="12"/>
  <c r="D77" i="12"/>
  <c r="B77" i="12"/>
  <c r="Z76" i="12"/>
  <c r="P76" i="12"/>
  <c r="X76" i="12" s="1"/>
  <c r="N76" i="12"/>
  <c r="D76" i="12"/>
  <c r="L76" i="12" s="1"/>
  <c r="B76" i="12"/>
  <c r="Z75" i="12"/>
  <c r="P75" i="12"/>
  <c r="X75" i="12" s="1"/>
  <c r="N75" i="12"/>
  <c r="L75" i="12"/>
  <c r="D75" i="12"/>
  <c r="B75" i="12"/>
  <c r="Z74" i="12"/>
  <c r="P74" i="12"/>
  <c r="X74" i="12" s="1"/>
  <c r="N74" i="12"/>
  <c r="D74" i="12"/>
  <c r="L74" i="12" s="1"/>
  <c r="B74" i="12"/>
  <c r="Z73" i="12"/>
  <c r="P73" i="12"/>
  <c r="X73" i="12" s="1"/>
  <c r="N73" i="12"/>
  <c r="D73" i="12"/>
  <c r="L73" i="12" s="1"/>
  <c r="B73" i="12"/>
  <c r="Z72" i="12"/>
  <c r="X72" i="12"/>
  <c r="P72" i="12"/>
  <c r="N72" i="12"/>
  <c r="D72" i="12"/>
  <c r="L72" i="12" s="1"/>
  <c r="B72" i="12"/>
  <c r="Z71" i="12"/>
  <c r="X71" i="12"/>
  <c r="P71" i="12"/>
  <c r="N71" i="12"/>
  <c r="D71" i="12"/>
  <c r="L71" i="12" s="1"/>
  <c r="B71" i="12"/>
  <c r="Z70" i="12"/>
  <c r="X70" i="12"/>
  <c r="P70" i="12"/>
  <c r="N70" i="12"/>
  <c r="D70" i="12"/>
  <c r="L70" i="12" s="1"/>
  <c r="B70" i="12"/>
  <c r="Z69" i="12"/>
  <c r="X69" i="12"/>
  <c r="P69" i="12"/>
  <c r="N69" i="12"/>
  <c r="L69" i="12"/>
  <c r="D69" i="12"/>
  <c r="B69" i="12"/>
  <c r="Z68" i="12"/>
  <c r="X68" i="12"/>
  <c r="P68" i="12"/>
  <c r="N68" i="12"/>
  <c r="L68" i="12"/>
  <c r="D68" i="12"/>
  <c r="B68" i="12"/>
  <c r="Z67" i="12"/>
  <c r="P67" i="12"/>
  <c r="X67" i="12" s="1"/>
  <c r="N67" i="12"/>
  <c r="L67" i="12"/>
  <c r="D67" i="12"/>
  <c r="B67" i="12"/>
  <c r="Z66" i="12"/>
  <c r="X66" i="12"/>
  <c r="P66" i="12"/>
  <c r="N66" i="12"/>
  <c r="L66" i="12"/>
  <c r="D66" i="12"/>
  <c r="B66" i="12"/>
  <c r="Z65" i="12"/>
  <c r="P65" i="12"/>
  <c r="X65" i="12" s="1"/>
  <c r="N65" i="12"/>
  <c r="L65" i="12"/>
  <c r="D65" i="12"/>
  <c r="B65" i="12"/>
  <c r="Z64" i="12"/>
  <c r="P64" i="12"/>
  <c r="X64" i="12" s="1"/>
  <c r="N64" i="12"/>
  <c r="D64" i="12"/>
  <c r="L64" i="12" s="1"/>
  <c r="B64" i="12"/>
  <c r="Z63" i="12"/>
  <c r="P63" i="12"/>
  <c r="X63" i="12" s="1"/>
  <c r="N63" i="12"/>
  <c r="L63" i="12"/>
  <c r="D63" i="12"/>
  <c r="B63" i="12"/>
  <c r="Z62" i="12"/>
  <c r="P62" i="12"/>
  <c r="X62" i="12" s="1"/>
  <c r="N62" i="12"/>
  <c r="D62" i="12"/>
  <c r="L62" i="12" s="1"/>
  <c r="B62" i="12"/>
  <c r="Z61" i="12"/>
  <c r="P61" i="12"/>
  <c r="X61" i="12" s="1"/>
  <c r="N61" i="12"/>
  <c r="D61" i="12"/>
  <c r="L61" i="12" s="1"/>
  <c r="B61" i="12"/>
  <c r="Z60" i="12"/>
  <c r="X60" i="12"/>
  <c r="P60" i="12"/>
  <c r="N60" i="12"/>
  <c r="D60" i="12"/>
  <c r="L60" i="12" s="1"/>
  <c r="B60" i="12"/>
  <c r="Z59" i="12"/>
  <c r="X59" i="12"/>
  <c r="P59" i="12"/>
  <c r="N59" i="12"/>
  <c r="D59" i="12"/>
  <c r="L59" i="12" s="1"/>
  <c r="B59" i="12"/>
  <c r="Z58" i="12"/>
  <c r="X58" i="12"/>
  <c r="P58" i="12"/>
  <c r="N58" i="12"/>
  <c r="D58" i="12"/>
  <c r="L58" i="12" s="1"/>
  <c r="B58" i="12"/>
  <c r="Z57" i="12"/>
  <c r="X57" i="12"/>
  <c r="P57" i="12"/>
  <c r="N57" i="12"/>
  <c r="L57" i="12"/>
  <c r="D57" i="12"/>
  <c r="B57" i="12"/>
  <c r="Z56" i="12"/>
  <c r="X56" i="12"/>
  <c r="P56" i="12"/>
  <c r="N56" i="12"/>
  <c r="L56" i="12"/>
  <c r="D56" i="12"/>
  <c r="B56" i="12"/>
  <c r="Z55" i="12"/>
  <c r="P55" i="12"/>
  <c r="X55" i="12" s="1"/>
  <c r="N55" i="12"/>
  <c r="L55" i="12"/>
  <c r="D55" i="12"/>
  <c r="B55" i="12"/>
  <c r="Z54" i="12"/>
  <c r="X54" i="12"/>
  <c r="P54" i="12"/>
  <c r="N54" i="12"/>
  <c r="L54" i="12"/>
  <c r="D54" i="12"/>
  <c r="B54" i="12"/>
  <c r="Z53" i="12"/>
  <c r="P53" i="12"/>
  <c r="X53" i="12" s="1"/>
  <c r="N53" i="12"/>
  <c r="L53" i="12"/>
  <c r="D53" i="12"/>
  <c r="B53" i="12"/>
  <c r="Z52" i="12"/>
  <c r="P52" i="12"/>
  <c r="X52" i="12" s="1"/>
  <c r="N52" i="12"/>
  <c r="D52" i="12"/>
  <c r="L52" i="12" s="1"/>
  <c r="B52" i="12"/>
  <c r="Z51" i="12"/>
  <c r="P51" i="12"/>
  <c r="X51" i="12" s="1"/>
  <c r="N51" i="12"/>
  <c r="L51" i="12"/>
  <c r="D51" i="12"/>
  <c r="B51" i="12"/>
  <c r="Z50" i="12"/>
  <c r="P50" i="12"/>
  <c r="X50" i="12" s="1"/>
  <c r="N50" i="12"/>
  <c r="D50" i="12"/>
  <c r="L50" i="12" s="1"/>
  <c r="B50" i="12"/>
  <c r="Z49" i="12"/>
  <c r="P49" i="12"/>
  <c r="X49" i="12" s="1"/>
  <c r="N49" i="12"/>
  <c r="D49" i="12"/>
  <c r="L49" i="12" s="1"/>
  <c r="B49" i="12"/>
  <c r="Z48" i="12"/>
  <c r="X48" i="12"/>
  <c r="P48" i="12"/>
  <c r="N48" i="12"/>
  <c r="D48" i="12"/>
  <c r="L48" i="12" s="1"/>
  <c r="B48" i="12"/>
  <c r="Z47" i="12"/>
  <c r="X47" i="12"/>
  <c r="P47" i="12"/>
  <c r="N47" i="12"/>
  <c r="D47" i="12"/>
  <c r="L47" i="12" s="1"/>
  <c r="B47" i="12"/>
  <c r="Z46" i="12"/>
  <c r="X46" i="12"/>
  <c r="P46" i="12"/>
  <c r="N46" i="12"/>
  <c r="D46" i="12"/>
  <c r="L46" i="12" s="1"/>
  <c r="B46" i="12"/>
  <c r="Z45" i="12"/>
  <c r="X45" i="12"/>
  <c r="P45" i="12"/>
  <c r="N45" i="12"/>
  <c r="L45" i="12"/>
  <c r="D45" i="12"/>
  <c r="B45" i="12"/>
  <c r="Z44" i="12"/>
  <c r="X44" i="12"/>
  <c r="P44" i="12"/>
  <c r="N44" i="12"/>
  <c r="L44" i="12"/>
  <c r="D44" i="12"/>
  <c r="B44" i="12"/>
  <c r="Z43" i="12"/>
  <c r="P43" i="12"/>
  <c r="X43" i="12" s="1"/>
  <c r="N43" i="12"/>
  <c r="L43" i="12"/>
  <c r="D43" i="12"/>
  <c r="B43" i="12"/>
  <c r="Z42" i="12"/>
  <c r="X42" i="12"/>
  <c r="P42" i="12"/>
  <c r="N42" i="12"/>
  <c r="L42" i="12"/>
  <c r="D42" i="12"/>
  <c r="B42" i="12"/>
  <c r="Z41" i="12"/>
  <c r="P41" i="12"/>
  <c r="X41" i="12" s="1"/>
  <c r="N41" i="12"/>
  <c r="L41" i="12"/>
  <c r="D41" i="12"/>
  <c r="B41" i="12"/>
  <c r="Z40" i="12"/>
  <c r="P40" i="12"/>
  <c r="X40" i="12" s="1"/>
  <c r="N40" i="12"/>
  <c r="D40" i="12"/>
  <c r="L40" i="12" s="1"/>
  <c r="B40" i="12"/>
  <c r="Z39" i="12"/>
  <c r="P39" i="12"/>
  <c r="X39" i="12" s="1"/>
  <c r="N39" i="12"/>
  <c r="L39" i="12"/>
  <c r="D39" i="12"/>
  <c r="B39" i="12"/>
  <c r="Z38" i="12"/>
  <c r="P38" i="12"/>
  <c r="X38" i="12" s="1"/>
  <c r="N38" i="12"/>
  <c r="D38" i="12"/>
  <c r="L38" i="12" s="1"/>
  <c r="B38" i="12"/>
  <c r="Z37" i="12"/>
  <c r="P37" i="12"/>
  <c r="X37" i="12" s="1"/>
  <c r="N37" i="12"/>
  <c r="D37" i="12"/>
  <c r="L37" i="12" s="1"/>
  <c r="B37" i="12"/>
  <c r="X36" i="12"/>
  <c r="Z36" i="12" s="1"/>
  <c r="P36" i="12"/>
  <c r="D36" i="12"/>
  <c r="L36" i="12" s="1"/>
  <c r="N36" i="12" s="1"/>
  <c r="B36" i="12"/>
  <c r="Z35" i="12"/>
  <c r="X35" i="12"/>
  <c r="P35" i="12"/>
  <c r="N35" i="12"/>
  <c r="D35" i="12"/>
  <c r="L35" i="12" s="1"/>
  <c r="B35" i="12"/>
  <c r="Z34" i="12"/>
  <c r="X34" i="12"/>
  <c r="P34" i="12"/>
  <c r="N34" i="12"/>
  <c r="D34" i="12"/>
  <c r="L34" i="12" s="1"/>
  <c r="B34" i="12"/>
  <c r="Z33" i="12"/>
  <c r="X33" i="12"/>
  <c r="P33" i="12"/>
  <c r="N33" i="12"/>
  <c r="L33" i="12"/>
  <c r="D33" i="12"/>
  <c r="B33" i="12"/>
  <c r="Z32" i="12"/>
  <c r="X32" i="12"/>
  <c r="P32" i="12"/>
  <c r="N32" i="12"/>
  <c r="L32" i="12"/>
  <c r="D32" i="12"/>
  <c r="B32" i="12"/>
  <c r="Z31" i="12"/>
  <c r="P31" i="12"/>
  <c r="X31" i="12" s="1"/>
  <c r="N31" i="12"/>
  <c r="L31" i="12"/>
  <c r="D31" i="12"/>
  <c r="B31" i="12"/>
  <c r="Z30" i="12"/>
  <c r="X30" i="12"/>
  <c r="P30" i="12"/>
  <c r="N30" i="12"/>
  <c r="L30" i="12"/>
  <c r="D30" i="12"/>
  <c r="B30" i="12"/>
  <c r="Z29" i="12"/>
  <c r="P29" i="12"/>
  <c r="X29" i="12" s="1"/>
  <c r="N29" i="12"/>
  <c r="L29" i="12"/>
  <c r="D29" i="12"/>
  <c r="B29" i="12"/>
  <c r="Z28" i="12"/>
  <c r="P28" i="12"/>
  <c r="X28" i="12" s="1"/>
  <c r="N28" i="12"/>
  <c r="D28" i="12"/>
  <c r="L28" i="12" s="1"/>
  <c r="B28" i="12"/>
  <c r="Z27" i="12"/>
  <c r="P27" i="12"/>
  <c r="X27" i="12" s="1"/>
  <c r="N27" i="12"/>
  <c r="L27" i="12"/>
  <c r="D27" i="12"/>
  <c r="B27" i="12"/>
  <c r="Z26" i="12"/>
  <c r="P26" i="12"/>
  <c r="X26" i="12" s="1"/>
  <c r="N26" i="12"/>
  <c r="D26" i="12"/>
  <c r="L26" i="12" s="1"/>
  <c r="B26" i="12"/>
  <c r="Z25" i="12"/>
  <c r="P25" i="12"/>
  <c r="X25" i="12" s="1"/>
  <c r="N25" i="12"/>
  <c r="D25" i="12"/>
  <c r="L25" i="12" s="1"/>
  <c r="B25" i="12"/>
  <c r="Z24" i="12"/>
  <c r="X24" i="12"/>
  <c r="P24" i="12"/>
  <c r="N24" i="12"/>
  <c r="D24" i="12"/>
  <c r="L24" i="12" s="1"/>
  <c r="B24" i="12"/>
  <c r="Z23" i="12"/>
  <c r="X23" i="12"/>
  <c r="P23" i="12"/>
  <c r="N23" i="12"/>
  <c r="D23" i="12"/>
  <c r="L23" i="12" s="1"/>
  <c r="B23" i="12"/>
  <c r="Z22" i="12"/>
  <c r="X22" i="12"/>
  <c r="P22" i="12"/>
  <c r="N22" i="12"/>
  <c r="D22" i="12"/>
  <c r="L22" i="12" s="1"/>
  <c r="B22" i="12"/>
  <c r="Z21" i="12"/>
  <c r="X21" i="12"/>
  <c r="P21" i="12"/>
  <c r="N21" i="12"/>
  <c r="L21" i="12"/>
  <c r="D21" i="12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L18" i="12"/>
  <c r="D18" i="12"/>
  <c r="B18" i="12"/>
  <c r="Z17" i="12"/>
  <c r="P17" i="12"/>
  <c r="X17" i="12" s="1"/>
  <c r="N17" i="12"/>
  <c r="L17" i="12"/>
  <c r="D17" i="12"/>
  <c r="B17" i="12"/>
  <c r="Z16" i="12"/>
  <c r="P16" i="12"/>
  <c r="X16" i="12" s="1"/>
  <c r="N16" i="12"/>
  <c r="D16" i="12"/>
  <c r="L16" i="12" s="1"/>
  <c r="B16" i="12"/>
  <c r="Z15" i="12"/>
  <c r="P15" i="12"/>
  <c r="N15" i="12"/>
  <c r="L15" i="12"/>
  <c r="D15" i="12"/>
  <c r="B15" i="12"/>
  <c r="Z14" i="12"/>
  <c r="P14" i="12"/>
  <c r="X14" i="12" s="1"/>
  <c r="N14" i="12"/>
  <c r="D14" i="12"/>
  <c r="B14" i="12"/>
  <c r="P13" i="12"/>
  <c r="X13" i="12" s="1"/>
  <c r="Z13" i="12" s="1"/>
  <c r="D13" i="12"/>
  <c r="L13" i="12" s="1"/>
  <c r="N13" i="12" s="1"/>
  <c r="B13" i="12"/>
  <c r="T12" i="12"/>
  <c r="V219" i="12" s="1"/>
  <c r="H12" i="12"/>
  <c r="D4" i="12"/>
  <c r="V110" i="9"/>
  <c r="V107" i="9"/>
  <c r="Z105" i="9"/>
  <c r="X105" i="9"/>
  <c r="V105" i="9"/>
  <c r="N105" i="9"/>
  <c r="L105" i="9"/>
  <c r="J105" i="9"/>
  <c r="Z101" i="9"/>
  <c r="X101" i="9"/>
  <c r="P101" i="9"/>
  <c r="N101" i="9"/>
  <c r="L101" i="9"/>
  <c r="D101" i="9"/>
  <c r="B101" i="9"/>
  <c r="Z100" i="9"/>
  <c r="P100" i="9"/>
  <c r="X100" i="9" s="1"/>
  <c r="N100" i="9"/>
  <c r="J100" i="9"/>
  <c r="D100" i="9"/>
  <c r="L100" i="9" s="1"/>
  <c r="B100" i="9"/>
  <c r="Z99" i="9"/>
  <c r="V99" i="9"/>
  <c r="P99" i="9"/>
  <c r="X99" i="9" s="1"/>
  <c r="N99" i="9"/>
  <c r="D99" i="9"/>
  <c r="L99" i="9" s="1"/>
  <c r="B99" i="9"/>
  <c r="Z98" i="9"/>
  <c r="T98" i="9"/>
  <c r="H98" i="9"/>
  <c r="N98" i="9" s="1"/>
  <c r="D98" i="9"/>
  <c r="L98" i="9" s="1"/>
  <c r="X96" i="9"/>
  <c r="Z96" i="9" s="1"/>
  <c r="N96" i="9"/>
  <c r="L96" i="9"/>
  <c r="B96" i="9"/>
  <c r="Z95" i="9"/>
  <c r="X95" i="9"/>
  <c r="V95" i="9"/>
  <c r="N95" i="9"/>
  <c r="L95" i="9"/>
  <c r="B95" i="9"/>
  <c r="T94" i="9"/>
  <c r="P94" i="9"/>
  <c r="X94" i="9" s="1"/>
  <c r="L94" i="9"/>
  <c r="N94" i="9" s="1"/>
  <c r="H94" i="9"/>
  <c r="D94" i="9"/>
  <c r="B94" i="9"/>
  <c r="X93" i="9"/>
  <c r="Z93" i="9" s="1"/>
  <c r="V93" i="9"/>
  <c r="N93" i="9"/>
  <c r="L93" i="9"/>
  <c r="J93" i="9"/>
  <c r="B93" i="9"/>
  <c r="V92" i="9"/>
  <c r="T92" i="9"/>
  <c r="P92" i="9"/>
  <c r="X92" i="9" s="1"/>
  <c r="Z92" i="9" s="1"/>
  <c r="H92" i="9"/>
  <c r="D92" i="9"/>
  <c r="B92" i="9"/>
  <c r="X91" i="9"/>
  <c r="Z91" i="9" s="1"/>
  <c r="N91" i="9"/>
  <c r="L91" i="9"/>
  <c r="B91" i="9"/>
  <c r="X90" i="9"/>
  <c r="Z90" i="9" s="1"/>
  <c r="N90" i="9"/>
  <c r="L90" i="9"/>
  <c r="B90" i="9"/>
  <c r="Z89" i="9"/>
  <c r="X89" i="9"/>
  <c r="V89" i="9"/>
  <c r="T89" i="9"/>
  <c r="P89" i="9"/>
  <c r="L89" i="9"/>
  <c r="H89" i="9"/>
  <c r="N89" i="9" s="1"/>
  <c r="D89" i="9"/>
  <c r="B89" i="9"/>
  <c r="X88" i="9"/>
  <c r="Z88" i="9" s="1"/>
  <c r="N88" i="9"/>
  <c r="L88" i="9"/>
  <c r="B88" i="9"/>
  <c r="Z87" i="9"/>
  <c r="X87" i="9"/>
  <c r="V87" i="9"/>
  <c r="N87" i="9"/>
  <c r="L87" i="9"/>
  <c r="B87" i="9"/>
  <c r="Z86" i="9"/>
  <c r="X86" i="9"/>
  <c r="R86" i="9"/>
  <c r="L86" i="9"/>
  <c r="N86" i="9" s="1"/>
  <c r="B86" i="9"/>
  <c r="Z85" i="9"/>
  <c r="X85" i="9"/>
  <c r="L85" i="9"/>
  <c r="N85" i="9" s="1"/>
  <c r="J85" i="9"/>
  <c r="B85" i="9"/>
  <c r="X84" i="9"/>
  <c r="Z84" i="9" s="1"/>
  <c r="N84" i="9"/>
  <c r="L84" i="9"/>
  <c r="B84" i="9"/>
  <c r="V83" i="9"/>
  <c r="T83" i="9"/>
  <c r="X83" i="9" s="1"/>
  <c r="Z83" i="9" s="1"/>
  <c r="R83" i="9"/>
  <c r="P83" i="9"/>
  <c r="H83" i="9"/>
  <c r="D83" i="9"/>
  <c r="B83" i="9"/>
  <c r="X82" i="9"/>
  <c r="Z82" i="9" s="1"/>
  <c r="V82" i="9"/>
  <c r="R82" i="9"/>
  <c r="L82" i="9"/>
  <c r="N82" i="9" s="1"/>
  <c r="B82" i="9"/>
  <c r="X81" i="9"/>
  <c r="Z81" i="9" s="1"/>
  <c r="V81" i="9"/>
  <c r="N81" i="9"/>
  <c r="L81" i="9"/>
  <c r="J81" i="9"/>
  <c r="B81" i="9"/>
  <c r="V80" i="9"/>
  <c r="T80" i="9"/>
  <c r="P80" i="9"/>
  <c r="X80" i="9" s="1"/>
  <c r="Z80" i="9" s="1"/>
  <c r="H80" i="9"/>
  <c r="D80" i="9"/>
  <c r="B80" i="9"/>
  <c r="X79" i="9"/>
  <c r="Z79" i="9" s="1"/>
  <c r="N79" i="9"/>
  <c r="L79" i="9"/>
  <c r="B79" i="9"/>
  <c r="X78" i="9"/>
  <c r="Z78" i="9" s="1"/>
  <c r="N78" i="9"/>
  <c r="L78" i="9"/>
  <c r="B78" i="9"/>
  <c r="Z77" i="9"/>
  <c r="X77" i="9"/>
  <c r="V77" i="9"/>
  <c r="T77" i="9"/>
  <c r="P77" i="9"/>
  <c r="L77" i="9"/>
  <c r="H77" i="9"/>
  <c r="N77" i="9" s="1"/>
  <c r="F77" i="9"/>
  <c r="D77" i="9"/>
  <c r="B77" i="9"/>
  <c r="Z76" i="9"/>
  <c r="X76" i="9"/>
  <c r="N76" i="9"/>
  <c r="L76" i="9"/>
  <c r="B76" i="9"/>
  <c r="Z75" i="9"/>
  <c r="X75" i="9"/>
  <c r="V75" i="9"/>
  <c r="N75" i="9"/>
  <c r="L75" i="9"/>
  <c r="B75" i="9"/>
  <c r="Z74" i="9"/>
  <c r="X74" i="9"/>
  <c r="R74" i="9"/>
  <c r="L74" i="9"/>
  <c r="N74" i="9" s="1"/>
  <c r="B74" i="9"/>
  <c r="Z73" i="9"/>
  <c r="X73" i="9"/>
  <c r="L73" i="9"/>
  <c r="N73" i="9" s="1"/>
  <c r="J73" i="9"/>
  <c r="B73" i="9"/>
  <c r="X72" i="9"/>
  <c r="T72" i="9"/>
  <c r="P72" i="9"/>
  <c r="H72" i="9"/>
  <c r="D72" i="9"/>
  <c r="B72" i="9"/>
  <c r="Z71" i="9"/>
  <c r="X71" i="9"/>
  <c r="V71" i="9"/>
  <c r="L71" i="9"/>
  <c r="N71" i="9" s="1"/>
  <c r="B71" i="9"/>
  <c r="X70" i="9"/>
  <c r="Z70" i="9" s="1"/>
  <c r="V70" i="9"/>
  <c r="R70" i="9"/>
  <c r="L70" i="9"/>
  <c r="N70" i="9" s="1"/>
  <c r="B70" i="9"/>
  <c r="X69" i="9"/>
  <c r="Z69" i="9" s="1"/>
  <c r="V69" i="9"/>
  <c r="N69" i="9"/>
  <c r="L69" i="9"/>
  <c r="J69" i="9"/>
  <c r="B69" i="9"/>
  <c r="Z68" i="9"/>
  <c r="X68" i="9"/>
  <c r="V68" i="9"/>
  <c r="L68" i="9"/>
  <c r="N68" i="9" s="1"/>
  <c r="B68" i="9"/>
  <c r="Z67" i="9"/>
  <c r="V67" i="9"/>
  <c r="T67" i="9"/>
  <c r="P67" i="9"/>
  <c r="X67" i="9" s="1"/>
  <c r="J67" i="9"/>
  <c r="H67" i="9"/>
  <c r="N67" i="9" s="1"/>
  <c r="D67" i="9"/>
  <c r="L67" i="9" s="1"/>
  <c r="B67" i="9"/>
  <c r="X66" i="9"/>
  <c r="Z66" i="9" s="1"/>
  <c r="N66" i="9"/>
  <c r="L66" i="9"/>
  <c r="B66" i="9"/>
  <c r="Z65" i="9"/>
  <c r="X65" i="9"/>
  <c r="V65" i="9"/>
  <c r="N65" i="9"/>
  <c r="L65" i="9"/>
  <c r="B65" i="9"/>
  <c r="T64" i="9"/>
  <c r="P64" i="9"/>
  <c r="X64" i="9" s="1"/>
  <c r="L64" i="9"/>
  <c r="H64" i="9"/>
  <c r="N64" i="9" s="1"/>
  <c r="D64" i="9"/>
  <c r="B64" i="9"/>
  <c r="Z63" i="9"/>
  <c r="X63" i="9"/>
  <c r="V63" i="9"/>
  <c r="N63" i="9"/>
  <c r="L63" i="9"/>
  <c r="B63" i="9"/>
  <c r="T62" i="9"/>
  <c r="P62" i="9"/>
  <c r="L62" i="9"/>
  <c r="H62" i="9"/>
  <c r="D62" i="9"/>
  <c r="B62" i="9"/>
  <c r="X61" i="9"/>
  <c r="Z61" i="9" s="1"/>
  <c r="V61" i="9"/>
  <c r="N61" i="9"/>
  <c r="L61" i="9"/>
  <c r="J61" i="9"/>
  <c r="B61" i="9"/>
  <c r="Z60" i="9"/>
  <c r="X60" i="9"/>
  <c r="V60" i="9"/>
  <c r="N60" i="9"/>
  <c r="L60" i="9"/>
  <c r="B60" i="9"/>
  <c r="V59" i="9"/>
  <c r="T59" i="9"/>
  <c r="P59" i="9"/>
  <c r="X59" i="9" s="1"/>
  <c r="Z59" i="9" s="1"/>
  <c r="J59" i="9"/>
  <c r="H59" i="9"/>
  <c r="D59" i="9"/>
  <c r="L59" i="9" s="1"/>
  <c r="B59" i="9"/>
  <c r="X58" i="9"/>
  <c r="Z58" i="9" s="1"/>
  <c r="N58" i="9"/>
  <c r="L58" i="9"/>
  <c r="B58" i="9"/>
  <c r="Z57" i="9"/>
  <c r="X57" i="9"/>
  <c r="V57" i="9"/>
  <c r="T57" i="9"/>
  <c r="P57" i="9"/>
  <c r="L57" i="9"/>
  <c r="H57" i="9"/>
  <c r="N57" i="9" s="1"/>
  <c r="D57" i="9"/>
  <c r="B57" i="9"/>
  <c r="X56" i="9"/>
  <c r="Z56" i="9" s="1"/>
  <c r="N56" i="9"/>
  <c r="L56" i="9"/>
  <c r="B56" i="9"/>
  <c r="Z55" i="9"/>
  <c r="V55" i="9"/>
  <c r="T55" i="9"/>
  <c r="X55" i="9" s="1"/>
  <c r="R55" i="9"/>
  <c r="P55" i="9"/>
  <c r="H55" i="9"/>
  <c r="D55" i="9"/>
  <c r="B55" i="9"/>
  <c r="X54" i="9"/>
  <c r="Z54" i="9" s="1"/>
  <c r="V54" i="9"/>
  <c r="R54" i="9"/>
  <c r="L54" i="9"/>
  <c r="N54" i="9" s="1"/>
  <c r="B54" i="9"/>
  <c r="X53" i="9"/>
  <c r="Z53" i="9" s="1"/>
  <c r="V53" i="9"/>
  <c r="N53" i="9"/>
  <c r="L53" i="9"/>
  <c r="J53" i="9"/>
  <c r="B53" i="9"/>
  <c r="V52" i="9"/>
  <c r="T52" i="9"/>
  <c r="P52" i="9"/>
  <c r="X52" i="9" s="1"/>
  <c r="Z52" i="9" s="1"/>
  <c r="H52" i="9"/>
  <c r="D52" i="9"/>
  <c r="B52" i="9"/>
  <c r="X51" i="9"/>
  <c r="Z51" i="9" s="1"/>
  <c r="N51" i="9"/>
  <c r="L51" i="9"/>
  <c r="J51" i="9"/>
  <c r="B51" i="9"/>
  <c r="X50" i="9"/>
  <c r="Z50" i="9" s="1"/>
  <c r="V50" i="9"/>
  <c r="N50" i="9"/>
  <c r="L50" i="9"/>
  <c r="B50" i="9"/>
  <c r="Z49" i="9"/>
  <c r="X49" i="9"/>
  <c r="V49" i="9"/>
  <c r="T49" i="9"/>
  <c r="P49" i="9"/>
  <c r="L49" i="9"/>
  <c r="H49" i="9"/>
  <c r="N49" i="9" s="1"/>
  <c r="D49" i="9"/>
  <c r="B49" i="9"/>
  <c r="X48" i="9"/>
  <c r="Z48" i="9" s="1"/>
  <c r="N48" i="9"/>
  <c r="L48" i="9"/>
  <c r="B48" i="9"/>
  <c r="Z47" i="9"/>
  <c r="V47" i="9"/>
  <c r="T47" i="9"/>
  <c r="X47" i="9" s="1"/>
  <c r="R47" i="9"/>
  <c r="P47" i="9"/>
  <c r="H47" i="9"/>
  <c r="D47" i="9"/>
  <c r="B47" i="9"/>
  <c r="X46" i="9"/>
  <c r="Z46" i="9" s="1"/>
  <c r="V46" i="9"/>
  <c r="R46" i="9"/>
  <c r="L46" i="9"/>
  <c r="N46" i="9" s="1"/>
  <c r="B46" i="9"/>
  <c r="V45" i="9"/>
  <c r="T45" i="9"/>
  <c r="R45" i="9"/>
  <c r="P45" i="9"/>
  <c r="X45" i="9" s="1"/>
  <c r="H45" i="9"/>
  <c r="D45" i="9"/>
  <c r="L45" i="9" s="1"/>
  <c r="N45" i="9" s="1"/>
  <c r="B45" i="9"/>
  <c r="X44" i="9"/>
  <c r="Z44" i="9" s="1"/>
  <c r="R44" i="9"/>
  <c r="L44" i="9"/>
  <c r="N44" i="9" s="1"/>
  <c r="B44" i="9"/>
  <c r="X43" i="9"/>
  <c r="T43" i="9"/>
  <c r="Z43" i="9" s="1"/>
  <c r="R43" i="9"/>
  <c r="P43" i="9"/>
  <c r="N43" i="9"/>
  <c r="L43" i="9"/>
  <c r="J43" i="9"/>
  <c r="H43" i="9"/>
  <c r="D43" i="9"/>
  <c r="B43" i="9"/>
  <c r="Z42" i="9"/>
  <c r="X42" i="9"/>
  <c r="R42" i="9"/>
  <c r="N42" i="9"/>
  <c r="L42" i="9"/>
  <c r="F42" i="9"/>
  <c r="B42" i="9"/>
  <c r="Z41" i="9"/>
  <c r="X41" i="9"/>
  <c r="N41" i="9"/>
  <c r="L41" i="9"/>
  <c r="J41" i="9"/>
  <c r="B41" i="9"/>
  <c r="X40" i="9"/>
  <c r="Z40" i="9" s="1"/>
  <c r="N40" i="9"/>
  <c r="L40" i="9"/>
  <c r="B40" i="9"/>
  <c r="Z39" i="9"/>
  <c r="X39" i="9"/>
  <c r="V39" i="9"/>
  <c r="N39" i="9"/>
  <c r="L39" i="9"/>
  <c r="B39" i="9"/>
  <c r="Z38" i="9"/>
  <c r="X38" i="9"/>
  <c r="R38" i="9"/>
  <c r="N38" i="9"/>
  <c r="L38" i="9"/>
  <c r="B38" i="9"/>
  <c r="Z37" i="9"/>
  <c r="X37" i="9"/>
  <c r="L37" i="9"/>
  <c r="N37" i="9" s="1"/>
  <c r="J37" i="9"/>
  <c r="B37" i="9"/>
  <c r="X36" i="9"/>
  <c r="Z36" i="9" s="1"/>
  <c r="N36" i="9"/>
  <c r="L36" i="9"/>
  <c r="B36" i="9"/>
  <c r="Z35" i="9"/>
  <c r="X35" i="9"/>
  <c r="V35" i="9"/>
  <c r="N35" i="9"/>
  <c r="L35" i="9"/>
  <c r="B35" i="9"/>
  <c r="Z34" i="9"/>
  <c r="X34" i="9"/>
  <c r="R34" i="9"/>
  <c r="L34" i="9"/>
  <c r="N34" i="9" s="1"/>
  <c r="F34" i="9"/>
  <c r="B34" i="9"/>
  <c r="Z33" i="9"/>
  <c r="X33" i="9"/>
  <c r="L33" i="9"/>
  <c r="N33" i="9" s="1"/>
  <c r="J33" i="9"/>
  <c r="B33" i="9"/>
  <c r="X32" i="9"/>
  <c r="T32" i="9"/>
  <c r="Z32" i="9" s="1"/>
  <c r="P32" i="9"/>
  <c r="H32" i="9"/>
  <c r="D32" i="9"/>
  <c r="L32" i="9" s="1"/>
  <c r="B32" i="9"/>
  <c r="Z31" i="9"/>
  <c r="X31" i="9"/>
  <c r="V31" i="9"/>
  <c r="L31" i="9"/>
  <c r="N31" i="9" s="1"/>
  <c r="B31" i="9"/>
  <c r="X30" i="9"/>
  <c r="Z30" i="9" s="1"/>
  <c r="V30" i="9"/>
  <c r="R30" i="9"/>
  <c r="L30" i="9"/>
  <c r="N30" i="9" s="1"/>
  <c r="B30" i="9"/>
  <c r="X29" i="9"/>
  <c r="Z29" i="9" s="1"/>
  <c r="V29" i="9"/>
  <c r="N29" i="9"/>
  <c r="L29" i="9"/>
  <c r="J29" i="9"/>
  <c r="B29" i="9"/>
  <c r="Z28" i="9"/>
  <c r="X28" i="9"/>
  <c r="V28" i="9"/>
  <c r="L28" i="9"/>
  <c r="N28" i="9" s="1"/>
  <c r="F28" i="9"/>
  <c r="B28" i="9"/>
  <c r="Z27" i="9"/>
  <c r="X27" i="9"/>
  <c r="V27" i="9"/>
  <c r="N27" i="9"/>
  <c r="L27" i="9"/>
  <c r="B27" i="9"/>
  <c r="X26" i="9"/>
  <c r="Z26" i="9" s="1"/>
  <c r="V26" i="9"/>
  <c r="R26" i="9"/>
  <c r="L26" i="9"/>
  <c r="N26" i="9" s="1"/>
  <c r="B26" i="9"/>
  <c r="X25" i="9"/>
  <c r="Z25" i="9" s="1"/>
  <c r="V25" i="9"/>
  <c r="N25" i="9"/>
  <c r="L25" i="9"/>
  <c r="J25" i="9"/>
  <c r="B25" i="9"/>
  <c r="Z24" i="9"/>
  <c r="X24" i="9"/>
  <c r="V24" i="9"/>
  <c r="L24" i="9"/>
  <c r="N24" i="9" s="1"/>
  <c r="F24" i="9"/>
  <c r="B24" i="9"/>
  <c r="Z23" i="9"/>
  <c r="X23" i="9"/>
  <c r="V23" i="9"/>
  <c r="L23" i="9"/>
  <c r="N23" i="9" s="1"/>
  <c r="B23" i="9"/>
  <c r="X22" i="9"/>
  <c r="Z22" i="9" s="1"/>
  <c r="V22" i="9"/>
  <c r="R22" i="9"/>
  <c r="L22" i="9"/>
  <c r="N22" i="9" s="1"/>
  <c r="B22" i="9"/>
  <c r="X21" i="9"/>
  <c r="Z21" i="9" s="1"/>
  <c r="V21" i="9"/>
  <c r="N21" i="9"/>
  <c r="L21" i="9"/>
  <c r="J21" i="9"/>
  <c r="B21" i="9"/>
  <c r="V20" i="9"/>
  <c r="T20" i="9"/>
  <c r="P20" i="9"/>
  <c r="X20" i="9" s="1"/>
  <c r="Z20" i="9" s="1"/>
  <c r="H20" i="9"/>
  <c r="L20" i="9" s="1"/>
  <c r="D20" i="9"/>
  <c r="B20" i="9"/>
  <c r="X19" i="9"/>
  <c r="T19" i="9"/>
  <c r="Z19" i="9" s="1"/>
  <c r="R19" i="9"/>
  <c r="P19" i="9"/>
  <c r="N19" i="9"/>
  <c r="L19" i="9"/>
  <c r="J19" i="9"/>
  <c r="H19" i="9"/>
  <c r="D19" i="9"/>
  <c r="R17" i="9"/>
  <c r="J17" i="9"/>
  <c r="X15" i="9"/>
  <c r="T15" i="9"/>
  <c r="Z15" i="9" s="1"/>
  <c r="R15" i="9"/>
  <c r="P15" i="9"/>
  <c r="N15" i="9"/>
  <c r="L15" i="9"/>
  <c r="J15" i="9"/>
  <c r="H15" i="9"/>
  <c r="D15" i="9"/>
  <c r="Z13" i="9"/>
  <c r="X13" i="9"/>
  <c r="P13" i="9"/>
  <c r="N13" i="9"/>
  <c r="L13" i="9"/>
  <c r="D13" i="9"/>
  <c r="D12" i="9" s="1"/>
  <c r="F57" i="9" s="1"/>
  <c r="B13" i="9"/>
  <c r="Z12" i="9"/>
  <c r="X12" i="9"/>
  <c r="T12" i="9"/>
  <c r="V100" i="9" s="1"/>
  <c r="P12" i="9"/>
  <c r="R96" i="9" s="1"/>
  <c r="H12" i="9"/>
  <c r="J110" i="9" s="1"/>
  <c r="D4" i="9"/>
  <c r="R31" i="6"/>
  <c r="F31" i="6"/>
  <c r="Z29" i="6"/>
  <c r="X29" i="6"/>
  <c r="T29" i="6"/>
  <c r="R29" i="6"/>
  <c r="P29" i="6"/>
  <c r="L29" i="6"/>
  <c r="H29" i="6"/>
  <c r="F29" i="6"/>
  <c r="D29" i="6"/>
  <c r="Z28" i="6"/>
  <c r="X28" i="6"/>
  <c r="T28" i="6"/>
  <c r="R28" i="6"/>
  <c r="P28" i="6"/>
  <c r="L28" i="6"/>
  <c r="H28" i="6"/>
  <c r="N28" i="6" s="1"/>
  <c r="F28" i="6"/>
  <c r="D28" i="6"/>
  <c r="R26" i="6"/>
  <c r="F26" i="6"/>
  <c r="Z24" i="6"/>
  <c r="X24" i="6"/>
  <c r="V24" i="6"/>
  <c r="N24" i="6"/>
  <c r="L24" i="6"/>
  <c r="F24" i="6"/>
  <c r="R22" i="6"/>
  <c r="T20" i="6"/>
  <c r="Z20" i="6" s="1"/>
  <c r="R20" i="6"/>
  <c r="P20" i="6"/>
  <c r="X20" i="6" s="1"/>
  <c r="N20" i="6"/>
  <c r="J20" i="6"/>
  <c r="H20" i="6"/>
  <c r="D20" i="6"/>
  <c r="L20" i="6" s="1"/>
  <c r="T18" i="6"/>
  <c r="Z18" i="6" s="1"/>
  <c r="R18" i="6"/>
  <c r="P18" i="6"/>
  <c r="X18" i="6" s="1"/>
  <c r="N18" i="6"/>
  <c r="J18" i="6"/>
  <c r="H18" i="6"/>
  <c r="D18" i="6"/>
  <c r="L18" i="6" s="1"/>
  <c r="R16" i="6"/>
  <c r="P16" i="6"/>
  <c r="P22" i="6" s="1"/>
  <c r="J16" i="6"/>
  <c r="D16" i="6"/>
  <c r="T14" i="6"/>
  <c r="Z14" i="6" s="1"/>
  <c r="R14" i="6"/>
  <c r="P14" i="6"/>
  <c r="X14" i="6" s="1"/>
  <c r="N14" i="6"/>
  <c r="J14" i="6"/>
  <c r="H14" i="6"/>
  <c r="D14" i="6"/>
  <c r="L14" i="6" s="1"/>
  <c r="T12" i="6"/>
  <c r="V31" i="6" s="1"/>
  <c r="P12" i="6"/>
  <c r="N12" i="6"/>
  <c r="L12" i="6"/>
  <c r="H12" i="6"/>
  <c r="D12" i="6"/>
  <c r="F22" i="6" s="1"/>
  <c r="D4" i="6"/>
  <c r="T280" i="3"/>
  <c r="Z280" i="3" s="1"/>
  <c r="P280" i="3"/>
  <c r="X280" i="3" s="1"/>
  <c r="H280" i="3"/>
  <c r="D280" i="3"/>
  <c r="T279" i="3"/>
  <c r="P279" i="3"/>
  <c r="H279" i="3"/>
  <c r="D279" i="3"/>
  <c r="Z275" i="3"/>
  <c r="X275" i="3"/>
  <c r="L275" i="3"/>
  <c r="N275" i="3" s="1"/>
  <c r="Z271" i="3"/>
  <c r="X271" i="3"/>
  <c r="P271" i="3"/>
  <c r="N271" i="3"/>
  <c r="D271" i="3"/>
  <c r="L271" i="3" s="1"/>
  <c r="B271" i="3"/>
  <c r="Z270" i="3"/>
  <c r="V270" i="3"/>
  <c r="P270" i="3"/>
  <c r="X270" i="3" s="1"/>
  <c r="N270" i="3"/>
  <c r="D270" i="3"/>
  <c r="L270" i="3" s="1"/>
  <c r="B270" i="3"/>
  <c r="X269" i="3"/>
  <c r="Z269" i="3" s="1"/>
  <c r="P269" i="3"/>
  <c r="D269" i="3"/>
  <c r="L269" i="3" s="1"/>
  <c r="N269" i="3" s="1"/>
  <c r="B269" i="3"/>
  <c r="Z268" i="3"/>
  <c r="P268" i="3"/>
  <c r="X268" i="3" s="1"/>
  <c r="N268" i="3"/>
  <c r="D268" i="3"/>
  <c r="L268" i="3" s="1"/>
  <c r="B268" i="3"/>
  <c r="X267" i="3"/>
  <c r="Z267" i="3" s="1"/>
  <c r="P267" i="3"/>
  <c r="L267" i="3"/>
  <c r="N267" i="3" s="1"/>
  <c r="D267" i="3"/>
  <c r="B267" i="3"/>
  <c r="P266" i="3"/>
  <c r="X266" i="3" s="1"/>
  <c r="Z266" i="3" s="1"/>
  <c r="L266" i="3"/>
  <c r="N266" i="3" s="1"/>
  <c r="J266" i="3"/>
  <c r="D266" i="3"/>
  <c r="B266" i="3"/>
  <c r="Z265" i="3"/>
  <c r="X265" i="3"/>
  <c r="P265" i="3"/>
  <c r="N265" i="3"/>
  <c r="D265" i="3"/>
  <c r="L265" i="3" s="1"/>
  <c r="B265" i="3"/>
  <c r="Z264" i="3"/>
  <c r="P264" i="3"/>
  <c r="X264" i="3" s="1"/>
  <c r="N264" i="3"/>
  <c r="L264" i="3"/>
  <c r="D264" i="3"/>
  <c r="B264" i="3"/>
  <c r="T263" i="3"/>
  <c r="H263" i="3"/>
  <c r="Z261" i="3"/>
  <c r="X261" i="3"/>
  <c r="L261" i="3"/>
  <c r="N261" i="3" s="1"/>
  <c r="B261" i="3"/>
  <c r="T260" i="3"/>
  <c r="P260" i="3"/>
  <c r="N260" i="3"/>
  <c r="H260" i="3"/>
  <c r="L260" i="3" s="1"/>
  <c r="D260" i="3"/>
  <c r="B260" i="3"/>
  <c r="Z259" i="3"/>
  <c r="X259" i="3"/>
  <c r="L259" i="3"/>
  <c r="N259" i="3" s="1"/>
  <c r="B259" i="3"/>
  <c r="Z258" i="3"/>
  <c r="X258" i="3"/>
  <c r="L258" i="3"/>
  <c r="N258" i="3" s="1"/>
  <c r="B258" i="3"/>
  <c r="X257" i="3"/>
  <c r="Z257" i="3" s="1"/>
  <c r="L257" i="3"/>
  <c r="N257" i="3" s="1"/>
  <c r="J257" i="3"/>
  <c r="B257" i="3"/>
  <c r="T256" i="3"/>
  <c r="P256" i="3"/>
  <c r="X256" i="3" s="1"/>
  <c r="H256" i="3"/>
  <c r="D256" i="3"/>
  <c r="B256" i="3"/>
  <c r="X255" i="3"/>
  <c r="Z255" i="3" s="1"/>
  <c r="L255" i="3"/>
  <c r="N255" i="3" s="1"/>
  <c r="B255" i="3"/>
  <c r="T254" i="3"/>
  <c r="P254" i="3"/>
  <c r="X254" i="3" s="1"/>
  <c r="H254" i="3"/>
  <c r="D254" i="3"/>
  <c r="L254" i="3" s="1"/>
  <c r="N254" i="3" s="1"/>
  <c r="B254" i="3"/>
  <c r="Z253" i="3"/>
  <c r="X253" i="3"/>
  <c r="L253" i="3"/>
  <c r="N253" i="3" s="1"/>
  <c r="B253" i="3"/>
  <c r="Z252" i="3"/>
  <c r="X252" i="3"/>
  <c r="L252" i="3"/>
  <c r="N252" i="3" s="1"/>
  <c r="B252" i="3"/>
  <c r="X251" i="3"/>
  <c r="T251" i="3"/>
  <c r="Z251" i="3" s="1"/>
  <c r="P251" i="3"/>
  <c r="N251" i="3"/>
  <c r="H251" i="3"/>
  <c r="D251" i="3"/>
  <c r="L251" i="3" s="1"/>
  <c r="B251" i="3"/>
  <c r="Z250" i="3"/>
  <c r="X250" i="3"/>
  <c r="L250" i="3"/>
  <c r="N250" i="3" s="1"/>
  <c r="B250" i="3"/>
  <c r="X249" i="3"/>
  <c r="Z249" i="3" s="1"/>
  <c r="L249" i="3"/>
  <c r="N249" i="3" s="1"/>
  <c r="B249" i="3"/>
  <c r="Z248" i="3"/>
  <c r="X248" i="3"/>
  <c r="N248" i="3"/>
  <c r="L248" i="3"/>
  <c r="J248" i="3"/>
  <c r="B248" i="3"/>
  <c r="Z247" i="3"/>
  <c r="X247" i="3"/>
  <c r="N247" i="3"/>
  <c r="L247" i="3"/>
  <c r="B247" i="3"/>
  <c r="Z246" i="3"/>
  <c r="X246" i="3"/>
  <c r="V246" i="3"/>
  <c r="L246" i="3"/>
  <c r="N246" i="3" s="1"/>
  <c r="B246" i="3"/>
  <c r="Z245" i="3"/>
  <c r="X245" i="3"/>
  <c r="L245" i="3"/>
  <c r="N245" i="3" s="1"/>
  <c r="B245" i="3"/>
  <c r="X244" i="3"/>
  <c r="Z244" i="3" s="1"/>
  <c r="L244" i="3"/>
  <c r="N244" i="3" s="1"/>
  <c r="B244" i="3"/>
  <c r="Z243" i="3"/>
  <c r="X243" i="3"/>
  <c r="L243" i="3"/>
  <c r="N243" i="3" s="1"/>
  <c r="J243" i="3"/>
  <c r="B243" i="3"/>
  <c r="Z242" i="3"/>
  <c r="X242" i="3"/>
  <c r="L242" i="3"/>
  <c r="N242" i="3" s="1"/>
  <c r="B242" i="3"/>
  <c r="X241" i="3"/>
  <c r="Z241" i="3" s="1"/>
  <c r="V241" i="3"/>
  <c r="N241" i="3"/>
  <c r="L241" i="3"/>
  <c r="B241" i="3"/>
  <c r="X240" i="3"/>
  <c r="Z240" i="3" s="1"/>
  <c r="L240" i="3"/>
  <c r="N240" i="3" s="1"/>
  <c r="J240" i="3"/>
  <c r="B240" i="3"/>
  <c r="T239" i="3"/>
  <c r="P239" i="3"/>
  <c r="X239" i="3" s="1"/>
  <c r="Z239" i="3" s="1"/>
  <c r="H239" i="3"/>
  <c r="D239" i="3"/>
  <c r="L239" i="3" s="1"/>
  <c r="B239" i="3"/>
  <c r="X238" i="3"/>
  <c r="Z238" i="3" s="1"/>
  <c r="N238" i="3"/>
  <c r="L238" i="3"/>
  <c r="B238" i="3"/>
  <c r="X237" i="3"/>
  <c r="Z237" i="3" s="1"/>
  <c r="N237" i="3"/>
  <c r="L237" i="3"/>
  <c r="B237" i="3"/>
  <c r="X236" i="3"/>
  <c r="Z236" i="3" s="1"/>
  <c r="V236" i="3"/>
  <c r="T236" i="3"/>
  <c r="P236" i="3"/>
  <c r="L236" i="3"/>
  <c r="N236" i="3" s="1"/>
  <c r="H236" i="3"/>
  <c r="D236" i="3"/>
  <c r="B236" i="3"/>
  <c r="X235" i="3"/>
  <c r="Z235" i="3" s="1"/>
  <c r="L235" i="3"/>
  <c r="N235" i="3" s="1"/>
  <c r="B235" i="3"/>
  <c r="Z234" i="3"/>
  <c r="X234" i="3"/>
  <c r="N234" i="3"/>
  <c r="L234" i="3"/>
  <c r="B234" i="3"/>
  <c r="Z233" i="3"/>
  <c r="X233" i="3"/>
  <c r="N233" i="3"/>
  <c r="L233" i="3"/>
  <c r="B233" i="3"/>
  <c r="Z232" i="3"/>
  <c r="X232" i="3"/>
  <c r="N232" i="3"/>
  <c r="L232" i="3"/>
  <c r="B232" i="3"/>
  <c r="X231" i="3"/>
  <c r="Z231" i="3" s="1"/>
  <c r="L231" i="3"/>
  <c r="N231" i="3" s="1"/>
  <c r="B231" i="3"/>
  <c r="T230" i="3"/>
  <c r="X230" i="3" s="1"/>
  <c r="Z230" i="3" s="1"/>
  <c r="P230" i="3"/>
  <c r="H230" i="3"/>
  <c r="D230" i="3"/>
  <c r="B230" i="3"/>
  <c r="Z229" i="3"/>
  <c r="X229" i="3"/>
  <c r="L229" i="3"/>
  <c r="N229" i="3" s="1"/>
  <c r="B229" i="3"/>
  <c r="X228" i="3"/>
  <c r="Z228" i="3" s="1"/>
  <c r="L228" i="3"/>
  <c r="N228" i="3" s="1"/>
  <c r="J228" i="3"/>
  <c r="B228" i="3"/>
  <c r="X227" i="3"/>
  <c r="Z227" i="3" s="1"/>
  <c r="L227" i="3"/>
  <c r="N227" i="3" s="1"/>
  <c r="B227" i="3"/>
  <c r="Z226" i="3"/>
  <c r="X226" i="3"/>
  <c r="L226" i="3"/>
  <c r="N226" i="3" s="1"/>
  <c r="B226" i="3"/>
  <c r="T225" i="3"/>
  <c r="P225" i="3"/>
  <c r="X225" i="3" s="1"/>
  <c r="H225" i="3"/>
  <c r="D225" i="3"/>
  <c r="L225" i="3" s="1"/>
  <c r="N225" i="3" s="1"/>
  <c r="B225" i="3"/>
  <c r="X224" i="3"/>
  <c r="Z224" i="3" s="1"/>
  <c r="V224" i="3"/>
  <c r="N224" i="3"/>
  <c r="L224" i="3"/>
  <c r="B224" i="3"/>
  <c r="X223" i="3"/>
  <c r="Z223" i="3" s="1"/>
  <c r="L223" i="3"/>
  <c r="N223" i="3" s="1"/>
  <c r="B223" i="3"/>
  <c r="X222" i="3"/>
  <c r="Z222" i="3" s="1"/>
  <c r="N222" i="3"/>
  <c r="L222" i="3"/>
  <c r="B222" i="3"/>
  <c r="X221" i="3"/>
  <c r="Z221" i="3" s="1"/>
  <c r="N221" i="3"/>
  <c r="L221" i="3"/>
  <c r="B221" i="3"/>
  <c r="X220" i="3"/>
  <c r="Z220" i="3" s="1"/>
  <c r="V220" i="3"/>
  <c r="T220" i="3"/>
  <c r="P220" i="3"/>
  <c r="L220" i="3"/>
  <c r="N220" i="3" s="1"/>
  <c r="H220" i="3"/>
  <c r="D220" i="3"/>
  <c r="B220" i="3"/>
  <c r="X219" i="3"/>
  <c r="Z219" i="3" s="1"/>
  <c r="L219" i="3"/>
  <c r="N219" i="3" s="1"/>
  <c r="B219" i="3"/>
  <c r="T218" i="3"/>
  <c r="X218" i="3" s="1"/>
  <c r="Z218" i="3" s="1"/>
  <c r="P218" i="3"/>
  <c r="H218" i="3"/>
  <c r="N218" i="3" s="1"/>
  <c r="D218" i="3"/>
  <c r="L218" i="3" s="1"/>
  <c r="B218" i="3"/>
  <c r="Z217" i="3"/>
  <c r="X217" i="3"/>
  <c r="L217" i="3"/>
  <c r="N217" i="3" s="1"/>
  <c r="B217" i="3"/>
  <c r="T216" i="3"/>
  <c r="Z216" i="3" s="1"/>
  <c r="P216" i="3"/>
  <c r="X216" i="3" s="1"/>
  <c r="H216" i="3"/>
  <c r="D216" i="3"/>
  <c r="L216" i="3" s="1"/>
  <c r="N216" i="3" s="1"/>
  <c r="B216" i="3"/>
  <c r="X215" i="3"/>
  <c r="Z215" i="3" s="1"/>
  <c r="L215" i="3"/>
  <c r="N215" i="3" s="1"/>
  <c r="B215" i="3"/>
  <c r="X214" i="3"/>
  <c r="Z214" i="3" s="1"/>
  <c r="T214" i="3"/>
  <c r="P214" i="3"/>
  <c r="L214" i="3"/>
  <c r="N214" i="3" s="1"/>
  <c r="J214" i="3"/>
  <c r="H214" i="3"/>
  <c r="D214" i="3"/>
  <c r="B214" i="3"/>
  <c r="Z213" i="3"/>
  <c r="X213" i="3"/>
  <c r="N213" i="3"/>
  <c r="L213" i="3"/>
  <c r="B213" i="3"/>
  <c r="Z212" i="3"/>
  <c r="X212" i="3"/>
  <c r="L212" i="3"/>
  <c r="N212" i="3" s="1"/>
  <c r="J212" i="3"/>
  <c r="B212" i="3"/>
  <c r="X211" i="3"/>
  <c r="T211" i="3"/>
  <c r="Z211" i="3" s="1"/>
  <c r="P211" i="3"/>
  <c r="H211" i="3"/>
  <c r="N211" i="3" s="1"/>
  <c r="D211" i="3"/>
  <c r="L211" i="3" s="1"/>
  <c r="B211" i="3"/>
  <c r="Z210" i="3"/>
  <c r="X210" i="3"/>
  <c r="L210" i="3"/>
  <c r="N210" i="3" s="1"/>
  <c r="B210" i="3"/>
  <c r="T209" i="3"/>
  <c r="Z209" i="3" s="1"/>
  <c r="P209" i="3"/>
  <c r="X209" i="3" s="1"/>
  <c r="H209" i="3"/>
  <c r="D209" i="3"/>
  <c r="L209" i="3" s="1"/>
  <c r="N209" i="3" s="1"/>
  <c r="B209" i="3"/>
  <c r="X208" i="3"/>
  <c r="Z208" i="3" s="1"/>
  <c r="V208" i="3"/>
  <c r="N208" i="3"/>
  <c r="L208" i="3"/>
  <c r="B208" i="3"/>
  <c r="T207" i="3"/>
  <c r="P207" i="3"/>
  <c r="X207" i="3" s="1"/>
  <c r="Z207" i="3" s="1"/>
  <c r="L207" i="3"/>
  <c r="H207" i="3"/>
  <c r="N207" i="3" s="1"/>
  <c r="D207" i="3"/>
  <c r="B207" i="3"/>
  <c r="Z206" i="3"/>
  <c r="X206" i="3"/>
  <c r="N206" i="3"/>
  <c r="L206" i="3"/>
  <c r="B206" i="3"/>
  <c r="Z205" i="3"/>
  <c r="X205" i="3"/>
  <c r="N205" i="3"/>
  <c r="L205" i="3"/>
  <c r="B205" i="3"/>
  <c r="Z204" i="3"/>
  <c r="X204" i="3"/>
  <c r="N204" i="3"/>
  <c r="L204" i="3"/>
  <c r="J204" i="3"/>
  <c r="B204" i="3"/>
  <c r="X203" i="3"/>
  <c r="T203" i="3"/>
  <c r="Z203" i="3" s="1"/>
  <c r="P203" i="3"/>
  <c r="H203" i="3"/>
  <c r="D203" i="3"/>
  <c r="L203" i="3" s="1"/>
  <c r="B203" i="3"/>
  <c r="Z202" i="3"/>
  <c r="X202" i="3"/>
  <c r="L202" i="3"/>
  <c r="N202" i="3" s="1"/>
  <c r="B202" i="3"/>
  <c r="Z201" i="3"/>
  <c r="X201" i="3"/>
  <c r="L201" i="3"/>
  <c r="N201" i="3" s="1"/>
  <c r="B201" i="3"/>
  <c r="T200" i="3"/>
  <c r="P200" i="3"/>
  <c r="X200" i="3" s="1"/>
  <c r="H200" i="3"/>
  <c r="D200" i="3"/>
  <c r="L200" i="3" s="1"/>
  <c r="N200" i="3" s="1"/>
  <c r="B200" i="3"/>
  <c r="X199" i="3"/>
  <c r="Z199" i="3" s="1"/>
  <c r="L199" i="3"/>
  <c r="N199" i="3" s="1"/>
  <c r="B199" i="3"/>
  <c r="X198" i="3"/>
  <c r="Z198" i="3" s="1"/>
  <c r="T198" i="3"/>
  <c r="P198" i="3"/>
  <c r="L198" i="3"/>
  <c r="N198" i="3" s="1"/>
  <c r="J198" i="3"/>
  <c r="H198" i="3"/>
  <c r="D198" i="3"/>
  <c r="B198" i="3"/>
  <c r="Z197" i="3"/>
  <c r="X197" i="3"/>
  <c r="N197" i="3"/>
  <c r="L197" i="3"/>
  <c r="B197" i="3"/>
  <c r="T196" i="3"/>
  <c r="P196" i="3"/>
  <c r="X196" i="3" s="1"/>
  <c r="H196" i="3"/>
  <c r="L196" i="3" s="1"/>
  <c r="N196" i="3" s="1"/>
  <c r="D196" i="3"/>
  <c r="B196" i="3"/>
  <c r="X195" i="3"/>
  <c r="Z195" i="3" s="1"/>
  <c r="L195" i="3"/>
  <c r="N195" i="3" s="1"/>
  <c r="B195" i="3"/>
  <c r="Z194" i="3"/>
  <c r="X194" i="3"/>
  <c r="N194" i="3"/>
  <c r="L194" i="3"/>
  <c r="B194" i="3"/>
  <c r="T193" i="3"/>
  <c r="Z193" i="3" s="1"/>
  <c r="P193" i="3"/>
  <c r="X193" i="3" s="1"/>
  <c r="H193" i="3"/>
  <c r="D193" i="3"/>
  <c r="L193" i="3" s="1"/>
  <c r="N193" i="3" s="1"/>
  <c r="B193" i="3"/>
  <c r="Z192" i="3"/>
  <c r="X192" i="3"/>
  <c r="V192" i="3"/>
  <c r="N192" i="3"/>
  <c r="L192" i="3"/>
  <c r="B192" i="3"/>
  <c r="X191" i="3"/>
  <c r="Z191" i="3" s="1"/>
  <c r="L191" i="3"/>
  <c r="N191" i="3" s="1"/>
  <c r="B191" i="3"/>
  <c r="X190" i="3"/>
  <c r="Z190" i="3" s="1"/>
  <c r="T190" i="3"/>
  <c r="P190" i="3"/>
  <c r="L190" i="3"/>
  <c r="N190" i="3" s="1"/>
  <c r="J190" i="3"/>
  <c r="H190" i="3"/>
  <c r="D190" i="3"/>
  <c r="B190" i="3"/>
  <c r="Z189" i="3"/>
  <c r="X189" i="3"/>
  <c r="N189" i="3"/>
  <c r="L189" i="3"/>
  <c r="B189" i="3"/>
  <c r="Z188" i="3"/>
  <c r="X188" i="3"/>
  <c r="L188" i="3"/>
  <c r="N188" i="3" s="1"/>
  <c r="J188" i="3"/>
  <c r="B188" i="3"/>
  <c r="Z187" i="3"/>
  <c r="X187" i="3"/>
  <c r="N187" i="3"/>
  <c r="L187" i="3"/>
  <c r="B187" i="3"/>
  <c r="T186" i="3"/>
  <c r="X186" i="3" s="1"/>
  <c r="Z186" i="3" s="1"/>
  <c r="P186" i="3"/>
  <c r="H186" i="3"/>
  <c r="D186" i="3"/>
  <c r="L186" i="3" s="1"/>
  <c r="B186" i="3"/>
  <c r="Z185" i="3"/>
  <c r="X185" i="3"/>
  <c r="L185" i="3"/>
  <c r="N185" i="3" s="1"/>
  <c r="B185" i="3"/>
  <c r="T184" i="3"/>
  <c r="P184" i="3"/>
  <c r="X184" i="3" s="1"/>
  <c r="H184" i="3"/>
  <c r="D184" i="3"/>
  <c r="L184" i="3" s="1"/>
  <c r="N184" i="3" s="1"/>
  <c r="B184" i="3"/>
  <c r="X183" i="3"/>
  <c r="Z183" i="3" s="1"/>
  <c r="L183" i="3"/>
  <c r="N183" i="3" s="1"/>
  <c r="B183" i="3"/>
  <c r="X182" i="3"/>
  <c r="Z182" i="3" s="1"/>
  <c r="N182" i="3"/>
  <c r="L182" i="3"/>
  <c r="B182" i="3"/>
  <c r="X181" i="3"/>
  <c r="T181" i="3"/>
  <c r="Z181" i="3" s="1"/>
  <c r="P181" i="3"/>
  <c r="H181" i="3"/>
  <c r="D181" i="3"/>
  <c r="L181" i="3" s="1"/>
  <c r="N181" i="3" s="1"/>
  <c r="B181" i="3"/>
  <c r="Z180" i="3"/>
  <c r="X180" i="3"/>
  <c r="L180" i="3"/>
  <c r="N180" i="3" s="1"/>
  <c r="J180" i="3"/>
  <c r="B180" i="3"/>
  <c r="X179" i="3"/>
  <c r="T179" i="3"/>
  <c r="Z179" i="3" s="1"/>
  <c r="P179" i="3"/>
  <c r="H179" i="3"/>
  <c r="N179" i="3" s="1"/>
  <c r="D179" i="3"/>
  <c r="L179" i="3" s="1"/>
  <c r="B179" i="3"/>
  <c r="Z178" i="3"/>
  <c r="X178" i="3"/>
  <c r="N178" i="3"/>
  <c r="L178" i="3"/>
  <c r="B178" i="3"/>
  <c r="Z177" i="3"/>
  <c r="X177" i="3"/>
  <c r="N177" i="3"/>
  <c r="L177" i="3"/>
  <c r="B177" i="3"/>
  <c r="X176" i="3"/>
  <c r="Z176" i="3" s="1"/>
  <c r="L176" i="3"/>
  <c r="N176" i="3" s="1"/>
  <c r="J176" i="3"/>
  <c r="B176" i="3"/>
  <c r="X175" i="3"/>
  <c r="Z175" i="3" s="1"/>
  <c r="N175" i="3"/>
  <c r="L175" i="3"/>
  <c r="B175" i="3"/>
  <c r="Z174" i="3"/>
  <c r="X174" i="3"/>
  <c r="N174" i="3"/>
  <c r="L174" i="3"/>
  <c r="B174" i="3"/>
  <c r="Z173" i="3"/>
  <c r="X173" i="3"/>
  <c r="L173" i="3"/>
  <c r="N173" i="3" s="1"/>
  <c r="B173" i="3"/>
  <c r="X172" i="3"/>
  <c r="Z172" i="3" s="1"/>
  <c r="V172" i="3"/>
  <c r="L172" i="3"/>
  <c r="N172" i="3" s="1"/>
  <c r="J172" i="3"/>
  <c r="B172" i="3"/>
  <c r="Z171" i="3"/>
  <c r="X171" i="3"/>
  <c r="N171" i="3"/>
  <c r="L171" i="3"/>
  <c r="B171" i="3"/>
  <c r="Z170" i="3"/>
  <c r="X170" i="3"/>
  <c r="L170" i="3"/>
  <c r="N170" i="3" s="1"/>
  <c r="B170" i="3"/>
  <c r="Z169" i="3"/>
  <c r="X169" i="3"/>
  <c r="L169" i="3"/>
  <c r="N169" i="3" s="1"/>
  <c r="B169" i="3"/>
  <c r="V168" i="3"/>
  <c r="T168" i="3"/>
  <c r="P168" i="3"/>
  <c r="X168" i="3" s="1"/>
  <c r="H168" i="3"/>
  <c r="D168" i="3"/>
  <c r="L168" i="3" s="1"/>
  <c r="N168" i="3" s="1"/>
  <c r="B168" i="3"/>
  <c r="X167" i="3"/>
  <c r="Z167" i="3" s="1"/>
  <c r="L167" i="3"/>
  <c r="N167" i="3" s="1"/>
  <c r="B167" i="3"/>
  <c r="X166" i="3"/>
  <c r="Z166" i="3" s="1"/>
  <c r="N166" i="3"/>
  <c r="L166" i="3"/>
  <c r="B166" i="3"/>
  <c r="X165" i="3"/>
  <c r="Z165" i="3" s="1"/>
  <c r="N165" i="3"/>
  <c r="L165" i="3"/>
  <c r="B165" i="3"/>
  <c r="Z164" i="3"/>
  <c r="X164" i="3"/>
  <c r="V164" i="3"/>
  <c r="N164" i="3"/>
  <c r="L164" i="3"/>
  <c r="B164" i="3"/>
  <c r="Z163" i="3"/>
  <c r="X163" i="3"/>
  <c r="N163" i="3"/>
  <c r="L163" i="3"/>
  <c r="B163" i="3"/>
  <c r="X162" i="3"/>
  <c r="Z162" i="3" s="1"/>
  <c r="N162" i="3"/>
  <c r="L162" i="3"/>
  <c r="B162" i="3"/>
  <c r="X161" i="3"/>
  <c r="Z161" i="3" s="1"/>
  <c r="N161" i="3"/>
  <c r="L161" i="3"/>
  <c r="B161" i="3"/>
  <c r="X160" i="3"/>
  <c r="Z160" i="3" s="1"/>
  <c r="V160" i="3"/>
  <c r="N160" i="3"/>
  <c r="L160" i="3"/>
  <c r="B160" i="3"/>
  <c r="X159" i="3"/>
  <c r="Z159" i="3" s="1"/>
  <c r="L159" i="3"/>
  <c r="N159" i="3" s="1"/>
  <c r="B159" i="3"/>
  <c r="X158" i="3"/>
  <c r="Z158" i="3" s="1"/>
  <c r="N158" i="3"/>
  <c r="L158" i="3"/>
  <c r="B158" i="3"/>
  <c r="X157" i="3"/>
  <c r="T157" i="3"/>
  <c r="Z157" i="3" s="1"/>
  <c r="P157" i="3"/>
  <c r="H157" i="3"/>
  <c r="D157" i="3"/>
  <c r="L157" i="3" s="1"/>
  <c r="N157" i="3" s="1"/>
  <c r="B157" i="3"/>
  <c r="T156" i="3"/>
  <c r="P156" i="3"/>
  <c r="X156" i="3" s="1"/>
  <c r="H156" i="3"/>
  <c r="L156" i="3" s="1"/>
  <c r="N156" i="3" s="1"/>
  <c r="D156" i="3"/>
  <c r="Z152" i="3"/>
  <c r="X152" i="3"/>
  <c r="N152" i="3"/>
  <c r="L152" i="3"/>
  <c r="J152" i="3"/>
  <c r="B152" i="3"/>
  <c r="Z151" i="3"/>
  <c r="X151" i="3"/>
  <c r="N151" i="3"/>
  <c r="L151" i="3"/>
  <c r="J151" i="3"/>
  <c r="B151" i="3"/>
  <c r="Z150" i="3"/>
  <c r="X150" i="3"/>
  <c r="N150" i="3"/>
  <c r="L150" i="3"/>
  <c r="B150" i="3"/>
  <c r="Z149" i="3"/>
  <c r="X149" i="3"/>
  <c r="N149" i="3"/>
  <c r="L149" i="3"/>
  <c r="J149" i="3"/>
  <c r="B149" i="3"/>
  <c r="Z148" i="3"/>
  <c r="X148" i="3"/>
  <c r="N148" i="3"/>
  <c r="L148" i="3"/>
  <c r="J148" i="3"/>
  <c r="B148" i="3"/>
  <c r="Z147" i="3"/>
  <c r="X147" i="3"/>
  <c r="N147" i="3"/>
  <c r="L147" i="3"/>
  <c r="J147" i="3"/>
  <c r="B147" i="3"/>
  <c r="Z146" i="3"/>
  <c r="X146" i="3"/>
  <c r="N146" i="3"/>
  <c r="L146" i="3"/>
  <c r="B146" i="3"/>
  <c r="Z145" i="3"/>
  <c r="X145" i="3"/>
  <c r="N145" i="3"/>
  <c r="L145" i="3"/>
  <c r="J145" i="3"/>
  <c r="B145" i="3"/>
  <c r="Z144" i="3"/>
  <c r="X144" i="3"/>
  <c r="N144" i="3"/>
  <c r="L144" i="3"/>
  <c r="J144" i="3"/>
  <c r="B144" i="3"/>
  <c r="Z143" i="3"/>
  <c r="X143" i="3"/>
  <c r="N143" i="3"/>
  <c r="L143" i="3"/>
  <c r="J143" i="3"/>
  <c r="B143" i="3"/>
  <c r="Z142" i="3"/>
  <c r="X142" i="3"/>
  <c r="N142" i="3"/>
  <c r="L142" i="3"/>
  <c r="B142" i="3"/>
  <c r="Z141" i="3"/>
  <c r="X141" i="3"/>
  <c r="N141" i="3"/>
  <c r="L141" i="3"/>
  <c r="J141" i="3"/>
  <c r="B141" i="3"/>
  <c r="Z140" i="3"/>
  <c r="X140" i="3"/>
  <c r="N140" i="3"/>
  <c r="L140" i="3"/>
  <c r="J140" i="3"/>
  <c r="B140" i="3"/>
  <c r="Z139" i="3"/>
  <c r="X139" i="3"/>
  <c r="N139" i="3"/>
  <c r="L139" i="3"/>
  <c r="J139" i="3"/>
  <c r="B139" i="3"/>
  <c r="Z138" i="3"/>
  <c r="X138" i="3"/>
  <c r="N138" i="3"/>
  <c r="L138" i="3"/>
  <c r="B138" i="3"/>
  <c r="Z137" i="3"/>
  <c r="X137" i="3"/>
  <c r="N137" i="3"/>
  <c r="L137" i="3"/>
  <c r="J137" i="3"/>
  <c r="B137" i="3"/>
  <c r="Z136" i="3"/>
  <c r="X136" i="3"/>
  <c r="N136" i="3"/>
  <c r="L136" i="3"/>
  <c r="J136" i="3"/>
  <c r="B136" i="3"/>
  <c r="Z135" i="3"/>
  <c r="X135" i="3"/>
  <c r="N135" i="3"/>
  <c r="L135" i="3"/>
  <c r="J135" i="3"/>
  <c r="B135" i="3"/>
  <c r="Z134" i="3"/>
  <c r="X134" i="3"/>
  <c r="N134" i="3"/>
  <c r="L134" i="3"/>
  <c r="B134" i="3"/>
  <c r="Z133" i="3"/>
  <c r="X133" i="3"/>
  <c r="N133" i="3"/>
  <c r="L133" i="3"/>
  <c r="J133" i="3"/>
  <c r="B133" i="3"/>
  <c r="Z132" i="3"/>
  <c r="X132" i="3"/>
  <c r="N132" i="3"/>
  <c r="L132" i="3"/>
  <c r="J132" i="3"/>
  <c r="B132" i="3"/>
  <c r="Z131" i="3"/>
  <c r="X131" i="3"/>
  <c r="N131" i="3"/>
  <c r="L131" i="3"/>
  <c r="J131" i="3"/>
  <c r="B131" i="3"/>
  <c r="Z130" i="3"/>
  <c r="X130" i="3"/>
  <c r="N130" i="3"/>
  <c r="L130" i="3"/>
  <c r="B130" i="3"/>
  <c r="Z129" i="3"/>
  <c r="X129" i="3"/>
  <c r="N129" i="3"/>
  <c r="L129" i="3"/>
  <c r="J129" i="3"/>
  <c r="B129" i="3"/>
  <c r="Z128" i="3"/>
  <c r="X128" i="3"/>
  <c r="N128" i="3"/>
  <c r="L128" i="3"/>
  <c r="J128" i="3"/>
  <c r="B128" i="3"/>
  <c r="Z127" i="3"/>
  <c r="X127" i="3"/>
  <c r="N127" i="3"/>
  <c r="L127" i="3"/>
  <c r="J127" i="3"/>
  <c r="B127" i="3"/>
  <c r="Z126" i="3"/>
  <c r="X126" i="3"/>
  <c r="N126" i="3"/>
  <c r="L126" i="3"/>
  <c r="B126" i="3"/>
  <c r="Z125" i="3"/>
  <c r="X125" i="3"/>
  <c r="N125" i="3"/>
  <c r="L125" i="3"/>
  <c r="J125" i="3"/>
  <c r="B125" i="3"/>
  <c r="Z124" i="3"/>
  <c r="X124" i="3"/>
  <c r="N124" i="3"/>
  <c r="L124" i="3"/>
  <c r="J124" i="3"/>
  <c r="B124" i="3"/>
  <c r="Z123" i="3"/>
  <c r="X123" i="3"/>
  <c r="N123" i="3"/>
  <c r="L123" i="3"/>
  <c r="J123" i="3"/>
  <c r="B123" i="3"/>
  <c r="Z122" i="3"/>
  <c r="X122" i="3"/>
  <c r="N122" i="3"/>
  <c r="L122" i="3"/>
  <c r="B122" i="3"/>
  <c r="Z121" i="3"/>
  <c r="X121" i="3"/>
  <c r="N121" i="3"/>
  <c r="L121" i="3"/>
  <c r="J121" i="3"/>
  <c r="B121" i="3"/>
  <c r="Z120" i="3"/>
  <c r="X120" i="3"/>
  <c r="N120" i="3"/>
  <c r="L120" i="3"/>
  <c r="J120" i="3"/>
  <c r="B120" i="3"/>
  <c r="Z119" i="3"/>
  <c r="X119" i="3"/>
  <c r="N119" i="3"/>
  <c r="L119" i="3"/>
  <c r="J119" i="3"/>
  <c r="B119" i="3"/>
  <c r="Z118" i="3"/>
  <c r="X118" i="3"/>
  <c r="N118" i="3"/>
  <c r="L118" i="3"/>
  <c r="B118" i="3"/>
  <c r="Z117" i="3"/>
  <c r="X117" i="3"/>
  <c r="N117" i="3"/>
  <c r="L117" i="3"/>
  <c r="J117" i="3"/>
  <c r="B117" i="3"/>
  <c r="Z116" i="3"/>
  <c r="X116" i="3"/>
  <c r="N116" i="3"/>
  <c r="L116" i="3"/>
  <c r="J116" i="3"/>
  <c r="B116" i="3"/>
  <c r="Z115" i="3"/>
  <c r="X115" i="3"/>
  <c r="N115" i="3"/>
  <c r="L115" i="3"/>
  <c r="J115" i="3"/>
  <c r="B115" i="3"/>
  <c r="Z114" i="3"/>
  <c r="X114" i="3"/>
  <c r="N114" i="3"/>
  <c r="L114" i="3"/>
  <c r="B114" i="3"/>
  <c r="Z113" i="3"/>
  <c r="X113" i="3"/>
  <c r="N113" i="3"/>
  <c r="L113" i="3"/>
  <c r="J113" i="3"/>
  <c r="B113" i="3"/>
  <c r="Z112" i="3"/>
  <c r="X112" i="3"/>
  <c r="N112" i="3"/>
  <c r="L112" i="3"/>
  <c r="J112" i="3"/>
  <c r="B112" i="3"/>
  <c r="Z111" i="3"/>
  <c r="X111" i="3"/>
  <c r="N111" i="3"/>
  <c r="L111" i="3"/>
  <c r="J111" i="3"/>
  <c r="B111" i="3"/>
  <c r="Z110" i="3"/>
  <c r="X110" i="3"/>
  <c r="N110" i="3"/>
  <c r="L110" i="3"/>
  <c r="B110" i="3"/>
  <c r="Z109" i="3"/>
  <c r="X109" i="3"/>
  <c r="N109" i="3"/>
  <c r="L109" i="3"/>
  <c r="J109" i="3"/>
  <c r="B109" i="3"/>
  <c r="Z108" i="3"/>
  <c r="X108" i="3"/>
  <c r="N108" i="3"/>
  <c r="L108" i="3"/>
  <c r="J108" i="3"/>
  <c r="B108" i="3"/>
  <c r="Z107" i="3"/>
  <c r="X107" i="3"/>
  <c r="N107" i="3"/>
  <c r="L107" i="3"/>
  <c r="J107" i="3"/>
  <c r="B107" i="3"/>
  <c r="Z106" i="3"/>
  <c r="X106" i="3"/>
  <c r="N106" i="3"/>
  <c r="L106" i="3"/>
  <c r="B106" i="3"/>
  <c r="Z105" i="3"/>
  <c r="X105" i="3"/>
  <c r="N105" i="3"/>
  <c r="L105" i="3"/>
  <c r="J105" i="3"/>
  <c r="B105" i="3"/>
  <c r="Z104" i="3"/>
  <c r="X104" i="3"/>
  <c r="N104" i="3"/>
  <c r="L104" i="3"/>
  <c r="J104" i="3"/>
  <c r="B104" i="3"/>
  <c r="X103" i="3"/>
  <c r="Z103" i="3" s="1"/>
  <c r="L103" i="3"/>
  <c r="N103" i="3" s="1"/>
  <c r="J103" i="3"/>
  <c r="B103" i="3"/>
  <c r="T102" i="3"/>
  <c r="X102" i="3" s="1"/>
  <c r="Z102" i="3" s="1"/>
  <c r="P102" i="3"/>
  <c r="H102" i="3"/>
  <c r="D102" i="3"/>
  <c r="L102" i="3" s="1"/>
  <c r="Z100" i="3"/>
  <c r="P100" i="3"/>
  <c r="X100" i="3" s="1"/>
  <c r="N100" i="3"/>
  <c r="L100" i="3"/>
  <c r="D100" i="3"/>
  <c r="B100" i="3"/>
  <c r="Z99" i="3"/>
  <c r="P99" i="3"/>
  <c r="X99" i="3" s="1"/>
  <c r="N99" i="3"/>
  <c r="D99" i="3"/>
  <c r="L99" i="3" s="1"/>
  <c r="B99" i="3"/>
  <c r="Z98" i="3"/>
  <c r="P98" i="3"/>
  <c r="X98" i="3" s="1"/>
  <c r="N98" i="3"/>
  <c r="L98" i="3"/>
  <c r="D98" i="3"/>
  <c r="B98" i="3"/>
  <c r="Z97" i="3"/>
  <c r="P97" i="3"/>
  <c r="X97" i="3" s="1"/>
  <c r="N97" i="3"/>
  <c r="D97" i="3"/>
  <c r="L97" i="3" s="1"/>
  <c r="B97" i="3"/>
  <c r="Z96" i="3"/>
  <c r="P96" i="3"/>
  <c r="X96" i="3" s="1"/>
  <c r="N96" i="3"/>
  <c r="D96" i="3"/>
  <c r="L96" i="3" s="1"/>
  <c r="B96" i="3"/>
  <c r="Z95" i="3"/>
  <c r="X95" i="3"/>
  <c r="P95" i="3"/>
  <c r="N95" i="3"/>
  <c r="D95" i="3"/>
  <c r="L95" i="3" s="1"/>
  <c r="B95" i="3"/>
  <c r="Z94" i="3"/>
  <c r="P94" i="3"/>
  <c r="X94" i="3" s="1"/>
  <c r="N94" i="3"/>
  <c r="D94" i="3"/>
  <c r="L94" i="3" s="1"/>
  <c r="B94" i="3"/>
  <c r="Z93" i="3"/>
  <c r="P93" i="3"/>
  <c r="X93" i="3" s="1"/>
  <c r="N93" i="3"/>
  <c r="D93" i="3"/>
  <c r="L93" i="3" s="1"/>
  <c r="B93" i="3"/>
  <c r="Z92" i="3"/>
  <c r="X92" i="3"/>
  <c r="P92" i="3"/>
  <c r="N92" i="3"/>
  <c r="L92" i="3"/>
  <c r="D92" i="3"/>
  <c r="B92" i="3"/>
  <c r="Z91" i="3"/>
  <c r="X91" i="3"/>
  <c r="P91" i="3"/>
  <c r="N91" i="3"/>
  <c r="D91" i="3"/>
  <c r="L91" i="3" s="1"/>
  <c r="B91" i="3"/>
  <c r="Z90" i="3"/>
  <c r="P90" i="3"/>
  <c r="X90" i="3" s="1"/>
  <c r="N90" i="3"/>
  <c r="D90" i="3"/>
  <c r="L90" i="3" s="1"/>
  <c r="B90" i="3"/>
  <c r="Z89" i="3"/>
  <c r="X89" i="3"/>
  <c r="P89" i="3"/>
  <c r="N89" i="3"/>
  <c r="L89" i="3"/>
  <c r="D89" i="3"/>
  <c r="B89" i="3"/>
  <c r="Z88" i="3"/>
  <c r="P88" i="3"/>
  <c r="X88" i="3" s="1"/>
  <c r="N88" i="3"/>
  <c r="L88" i="3"/>
  <c r="D88" i="3"/>
  <c r="B88" i="3"/>
  <c r="Z87" i="3"/>
  <c r="P87" i="3"/>
  <c r="X87" i="3" s="1"/>
  <c r="N87" i="3"/>
  <c r="D87" i="3"/>
  <c r="L87" i="3" s="1"/>
  <c r="B87" i="3"/>
  <c r="Z86" i="3"/>
  <c r="P86" i="3"/>
  <c r="X86" i="3" s="1"/>
  <c r="N86" i="3"/>
  <c r="L86" i="3"/>
  <c r="D86" i="3"/>
  <c r="B86" i="3"/>
  <c r="Z85" i="3"/>
  <c r="P85" i="3"/>
  <c r="X85" i="3" s="1"/>
  <c r="N85" i="3"/>
  <c r="D85" i="3"/>
  <c r="L85" i="3" s="1"/>
  <c r="B85" i="3"/>
  <c r="Z84" i="3"/>
  <c r="P84" i="3"/>
  <c r="X84" i="3" s="1"/>
  <c r="N84" i="3"/>
  <c r="D84" i="3"/>
  <c r="L84" i="3" s="1"/>
  <c r="B84" i="3"/>
  <c r="Z83" i="3"/>
  <c r="X83" i="3"/>
  <c r="P83" i="3"/>
  <c r="N83" i="3"/>
  <c r="D83" i="3"/>
  <c r="L83" i="3" s="1"/>
  <c r="B83" i="3"/>
  <c r="Z82" i="3"/>
  <c r="P82" i="3"/>
  <c r="X82" i="3" s="1"/>
  <c r="N82" i="3"/>
  <c r="D82" i="3"/>
  <c r="L82" i="3" s="1"/>
  <c r="B82" i="3"/>
  <c r="Z81" i="3"/>
  <c r="P81" i="3"/>
  <c r="X81" i="3" s="1"/>
  <c r="N81" i="3"/>
  <c r="D81" i="3"/>
  <c r="L81" i="3" s="1"/>
  <c r="B81" i="3"/>
  <c r="Z80" i="3"/>
  <c r="X80" i="3"/>
  <c r="P80" i="3"/>
  <c r="N80" i="3"/>
  <c r="L80" i="3"/>
  <c r="D80" i="3"/>
  <c r="B80" i="3"/>
  <c r="Z79" i="3"/>
  <c r="X79" i="3"/>
  <c r="P79" i="3"/>
  <c r="N79" i="3"/>
  <c r="D79" i="3"/>
  <c r="L79" i="3" s="1"/>
  <c r="B79" i="3"/>
  <c r="Z78" i="3"/>
  <c r="P78" i="3"/>
  <c r="X78" i="3" s="1"/>
  <c r="N78" i="3"/>
  <c r="D78" i="3"/>
  <c r="L78" i="3" s="1"/>
  <c r="B78" i="3"/>
  <c r="Z77" i="3"/>
  <c r="X77" i="3"/>
  <c r="P77" i="3"/>
  <c r="N77" i="3"/>
  <c r="L77" i="3"/>
  <c r="D77" i="3"/>
  <c r="B77" i="3"/>
  <c r="Z76" i="3"/>
  <c r="P76" i="3"/>
  <c r="X76" i="3" s="1"/>
  <c r="N76" i="3"/>
  <c r="L76" i="3"/>
  <c r="D76" i="3"/>
  <c r="B76" i="3"/>
  <c r="Z75" i="3"/>
  <c r="P75" i="3"/>
  <c r="X75" i="3" s="1"/>
  <c r="N75" i="3"/>
  <c r="D75" i="3"/>
  <c r="L75" i="3" s="1"/>
  <c r="B75" i="3"/>
  <c r="Z74" i="3"/>
  <c r="P74" i="3"/>
  <c r="X74" i="3" s="1"/>
  <c r="N74" i="3"/>
  <c r="L74" i="3"/>
  <c r="D74" i="3"/>
  <c r="B74" i="3"/>
  <c r="Z73" i="3"/>
  <c r="P73" i="3"/>
  <c r="X73" i="3" s="1"/>
  <c r="N73" i="3"/>
  <c r="D73" i="3"/>
  <c r="L73" i="3" s="1"/>
  <c r="B73" i="3"/>
  <c r="Z72" i="3"/>
  <c r="P72" i="3"/>
  <c r="X72" i="3" s="1"/>
  <c r="N72" i="3"/>
  <c r="D72" i="3"/>
  <c r="L72" i="3" s="1"/>
  <c r="B72" i="3"/>
  <c r="Z71" i="3"/>
  <c r="X71" i="3"/>
  <c r="P71" i="3"/>
  <c r="N71" i="3"/>
  <c r="D71" i="3"/>
  <c r="L71" i="3" s="1"/>
  <c r="B71" i="3"/>
  <c r="Z70" i="3"/>
  <c r="P70" i="3"/>
  <c r="X70" i="3" s="1"/>
  <c r="N70" i="3"/>
  <c r="D70" i="3"/>
  <c r="L70" i="3" s="1"/>
  <c r="B70" i="3"/>
  <c r="Z69" i="3"/>
  <c r="P69" i="3"/>
  <c r="X69" i="3" s="1"/>
  <c r="N69" i="3"/>
  <c r="D69" i="3"/>
  <c r="L69" i="3" s="1"/>
  <c r="B69" i="3"/>
  <c r="Z68" i="3"/>
  <c r="X68" i="3"/>
  <c r="P68" i="3"/>
  <c r="N68" i="3"/>
  <c r="L68" i="3"/>
  <c r="D68" i="3"/>
  <c r="B68" i="3"/>
  <c r="Z67" i="3"/>
  <c r="X67" i="3"/>
  <c r="P67" i="3"/>
  <c r="N67" i="3"/>
  <c r="D67" i="3"/>
  <c r="L67" i="3" s="1"/>
  <c r="B67" i="3"/>
  <c r="Z66" i="3"/>
  <c r="P66" i="3"/>
  <c r="X66" i="3" s="1"/>
  <c r="N66" i="3"/>
  <c r="D66" i="3"/>
  <c r="L66" i="3" s="1"/>
  <c r="B66" i="3"/>
  <c r="Z65" i="3"/>
  <c r="X65" i="3"/>
  <c r="P65" i="3"/>
  <c r="N65" i="3"/>
  <c r="L65" i="3"/>
  <c r="D65" i="3"/>
  <c r="B65" i="3"/>
  <c r="Z64" i="3"/>
  <c r="P64" i="3"/>
  <c r="X64" i="3" s="1"/>
  <c r="N64" i="3"/>
  <c r="L64" i="3"/>
  <c r="D64" i="3"/>
  <c r="B64" i="3"/>
  <c r="Z63" i="3"/>
  <c r="P63" i="3"/>
  <c r="X63" i="3" s="1"/>
  <c r="N63" i="3"/>
  <c r="D63" i="3"/>
  <c r="L63" i="3" s="1"/>
  <c r="B63" i="3"/>
  <c r="Z62" i="3"/>
  <c r="P62" i="3"/>
  <c r="X62" i="3" s="1"/>
  <c r="N62" i="3"/>
  <c r="L62" i="3"/>
  <c r="D62" i="3"/>
  <c r="B62" i="3"/>
  <c r="Z61" i="3"/>
  <c r="P61" i="3"/>
  <c r="X61" i="3" s="1"/>
  <c r="N61" i="3"/>
  <c r="D61" i="3"/>
  <c r="L61" i="3" s="1"/>
  <c r="B61" i="3"/>
  <c r="Z60" i="3"/>
  <c r="P60" i="3"/>
  <c r="X60" i="3" s="1"/>
  <c r="N60" i="3"/>
  <c r="D60" i="3"/>
  <c r="L60" i="3" s="1"/>
  <c r="B60" i="3"/>
  <c r="Z59" i="3"/>
  <c r="X59" i="3"/>
  <c r="P59" i="3"/>
  <c r="N59" i="3"/>
  <c r="D59" i="3"/>
  <c r="L59" i="3" s="1"/>
  <c r="B59" i="3"/>
  <c r="Z58" i="3"/>
  <c r="P58" i="3"/>
  <c r="X58" i="3" s="1"/>
  <c r="N58" i="3"/>
  <c r="D58" i="3"/>
  <c r="L58" i="3" s="1"/>
  <c r="B58" i="3"/>
  <c r="Z57" i="3"/>
  <c r="P57" i="3"/>
  <c r="X57" i="3" s="1"/>
  <c r="N57" i="3"/>
  <c r="D57" i="3"/>
  <c r="L57" i="3" s="1"/>
  <c r="B57" i="3"/>
  <c r="Z56" i="3"/>
  <c r="X56" i="3"/>
  <c r="P56" i="3"/>
  <c r="N56" i="3"/>
  <c r="L56" i="3"/>
  <c r="D56" i="3"/>
  <c r="B56" i="3"/>
  <c r="Z55" i="3"/>
  <c r="X55" i="3"/>
  <c r="P55" i="3"/>
  <c r="N55" i="3"/>
  <c r="D55" i="3"/>
  <c r="L55" i="3" s="1"/>
  <c r="B55" i="3"/>
  <c r="Z54" i="3"/>
  <c r="P54" i="3"/>
  <c r="X54" i="3" s="1"/>
  <c r="N54" i="3"/>
  <c r="D54" i="3"/>
  <c r="L54" i="3" s="1"/>
  <c r="B54" i="3"/>
  <c r="Z53" i="3"/>
  <c r="X53" i="3"/>
  <c r="P53" i="3"/>
  <c r="N53" i="3"/>
  <c r="L53" i="3"/>
  <c r="D53" i="3"/>
  <c r="B53" i="3"/>
  <c r="Z52" i="3"/>
  <c r="P52" i="3"/>
  <c r="X52" i="3" s="1"/>
  <c r="N52" i="3"/>
  <c r="L52" i="3"/>
  <c r="D52" i="3"/>
  <c r="B52" i="3"/>
  <c r="Z51" i="3"/>
  <c r="P51" i="3"/>
  <c r="X51" i="3" s="1"/>
  <c r="N51" i="3"/>
  <c r="D51" i="3"/>
  <c r="L51" i="3" s="1"/>
  <c r="B51" i="3"/>
  <c r="Z50" i="3"/>
  <c r="P50" i="3"/>
  <c r="X50" i="3" s="1"/>
  <c r="N50" i="3"/>
  <c r="L50" i="3"/>
  <c r="D50" i="3"/>
  <c r="B50" i="3"/>
  <c r="Z49" i="3"/>
  <c r="P49" i="3"/>
  <c r="X49" i="3" s="1"/>
  <c r="N49" i="3"/>
  <c r="D49" i="3"/>
  <c r="L49" i="3" s="1"/>
  <c r="B49" i="3"/>
  <c r="Z48" i="3"/>
  <c r="P48" i="3"/>
  <c r="X48" i="3" s="1"/>
  <c r="N48" i="3"/>
  <c r="D48" i="3"/>
  <c r="L48" i="3" s="1"/>
  <c r="B48" i="3"/>
  <c r="Z47" i="3"/>
  <c r="X47" i="3"/>
  <c r="P47" i="3"/>
  <c r="N47" i="3"/>
  <c r="D47" i="3"/>
  <c r="L47" i="3" s="1"/>
  <c r="B47" i="3"/>
  <c r="Z46" i="3"/>
  <c r="P46" i="3"/>
  <c r="X46" i="3" s="1"/>
  <c r="N46" i="3"/>
  <c r="D46" i="3"/>
  <c r="L46" i="3" s="1"/>
  <c r="B46" i="3"/>
  <c r="Z45" i="3"/>
  <c r="P45" i="3"/>
  <c r="X45" i="3" s="1"/>
  <c r="N45" i="3"/>
  <c r="D45" i="3"/>
  <c r="L45" i="3" s="1"/>
  <c r="B45" i="3"/>
  <c r="Z44" i="3"/>
  <c r="X44" i="3"/>
  <c r="P44" i="3"/>
  <c r="N44" i="3"/>
  <c r="L44" i="3"/>
  <c r="D44" i="3"/>
  <c r="B44" i="3"/>
  <c r="X43" i="3"/>
  <c r="Z43" i="3" s="1"/>
  <c r="P43" i="3"/>
  <c r="D43" i="3"/>
  <c r="L43" i="3" s="1"/>
  <c r="N43" i="3" s="1"/>
  <c r="B43" i="3"/>
  <c r="Z42" i="3"/>
  <c r="P42" i="3"/>
  <c r="X42" i="3" s="1"/>
  <c r="N42" i="3"/>
  <c r="D42" i="3"/>
  <c r="L42" i="3" s="1"/>
  <c r="B42" i="3"/>
  <c r="Z41" i="3"/>
  <c r="X41" i="3"/>
  <c r="P41" i="3"/>
  <c r="N41" i="3"/>
  <c r="L41" i="3"/>
  <c r="D41" i="3"/>
  <c r="B41" i="3"/>
  <c r="Z40" i="3"/>
  <c r="P40" i="3"/>
  <c r="X40" i="3" s="1"/>
  <c r="N40" i="3"/>
  <c r="L40" i="3"/>
  <c r="D40" i="3"/>
  <c r="B40" i="3"/>
  <c r="Z39" i="3"/>
  <c r="P39" i="3"/>
  <c r="X39" i="3" s="1"/>
  <c r="N39" i="3"/>
  <c r="D39" i="3"/>
  <c r="L39" i="3" s="1"/>
  <c r="B39" i="3"/>
  <c r="Z38" i="3"/>
  <c r="P38" i="3"/>
  <c r="X38" i="3" s="1"/>
  <c r="N38" i="3"/>
  <c r="L38" i="3"/>
  <c r="D38" i="3"/>
  <c r="B38" i="3"/>
  <c r="Z37" i="3"/>
  <c r="P37" i="3"/>
  <c r="X37" i="3" s="1"/>
  <c r="N37" i="3"/>
  <c r="D37" i="3"/>
  <c r="L37" i="3" s="1"/>
  <c r="B37" i="3"/>
  <c r="Z36" i="3"/>
  <c r="P36" i="3"/>
  <c r="X36" i="3" s="1"/>
  <c r="N36" i="3"/>
  <c r="D36" i="3"/>
  <c r="L36" i="3" s="1"/>
  <c r="B36" i="3"/>
  <c r="Z35" i="3"/>
  <c r="X35" i="3"/>
  <c r="P35" i="3"/>
  <c r="N35" i="3"/>
  <c r="D35" i="3"/>
  <c r="L35" i="3" s="1"/>
  <c r="B35" i="3"/>
  <c r="Z34" i="3"/>
  <c r="P34" i="3"/>
  <c r="X34" i="3" s="1"/>
  <c r="N34" i="3"/>
  <c r="D34" i="3"/>
  <c r="L34" i="3" s="1"/>
  <c r="B34" i="3"/>
  <c r="Z33" i="3"/>
  <c r="P33" i="3"/>
  <c r="X33" i="3" s="1"/>
  <c r="N33" i="3"/>
  <c r="D33" i="3"/>
  <c r="L33" i="3" s="1"/>
  <c r="B33" i="3"/>
  <c r="Z32" i="3"/>
  <c r="X32" i="3"/>
  <c r="P32" i="3"/>
  <c r="N32" i="3"/>
  <c r="L32" i="3"/>
  <c r="D32" i="3"/>
  <c r="B32" i="3"/>
  <c r="Z31" i="3"/>
  <c r="X31" i="3"/>
  <c r="P31" i="3"/>
  <c r="N31" i="3"/>
  <c r="D31" i="3"/>
  <c r="L31" i="3" s="1"/>
  <c r="B31" i="3"/>
  <c r="Z30" i="3"/>
  <c r="P30" i="3"/>
  <c r="X30" i="3" s="1"/>
  <c r="N30" i="3"/>
  <c r="D30" i="3"/>
  <c r="L30" i="3" s="1"/>
  <c r="B30" i="3"/>
  <c r="Z29" i="3"/>
  <c r="X29" i="3"/>
  <c r="P29" i="3"/>
  <c r="N29" i="3"/>
  <c r="L29" i="3"/>
  <c r="D29" i="3"/>
  <c r="B29" i="3"/>
  <c r="Z28" i="3"/>
  <c r="P28" i="3"/>
  <c r="X28" i="3" s="1"/>
  <c r="N28" i="3"/>
  <c r="L28" i="3"/>
  <c r="D28" i="3"/>
  <c r="B28" i="3"/>
  <c r="Z27" i="3"/>
  <c r="P27" i="3"/>
  <c r="X27" i="3" s="1"/>
  <c r="N27" i="3"/>
  <c r="D27" i="3"/>
  <c r="L27" i="3" s="1"/>
  <c r="B27" i="3"/>
  <c r="Z26" i="3"/>
  <c r="P26" i="3"/>
  <c r="X26" i="3" s="1"/>
  <c r="N26" i="3"/>
  <c r="L26" i="3"/>
  <c r="D26" i="3"/>
  <c r="B26" i="3"/>
  <c r="Z25" i="3"/>
  <c r="P25" i="3"/>
  <c r="X25" i="3" s="1"/>
  <c r="N25" i="3"/>
  <c r="D25" i="3"/>
  <c r="L25" i="3" s="1"/>
  <c r="B25" i="3"/>
  <c r="Z24" i="3"/>
  <c r="P24" i="3"/>
  <c r="X24" i="3" s="1"/>
  <c r="N24" i="3"/>
  <c r="D24" i="3"/>
  <c r="L24" i="3" s="1"/>
  <c r="B24" i="3"/>
  <c r="Z23" i="3"/>
  <c r="X23" i="3"/>
  <c r="P23" i="3"/>
  <c r="N23" i="3"/>
  <c r="D23" i="3"/>
  <c r="L23" i="3" s="1"/>
  <c r="B23" i="3"/>
  <c r="Z22" i="3"/>
  <c r="P22" i="3"/>
  <c r="X22" i="3" s="1"/>
  <c r="N22" i="3"/>
  <c r="D22" i="3"/>
  <c r="L22" i="3" s="1"/>
  <c r="B22" i="3"/>
  <c r="Z21" i="3"/>
  <c r="P21" i="3"/>
  <c r="X21" i="3" s="1"/>
  <c r="N21" i="3"/>
  <c r="D21" i="3"/>
  <c r="L21" i="3" s="1"/>
  <c r="B21" i="3"/>
  <c r="Z20" i="3"/>
  <c r="X20" i="3"/>
  <c r="P20" i="3"/>
  <c r="N20" i="3"/>
  <c r="L20" i="3"/>
  <c r="D20" i="3"/>
  <c r="B20" i="3"/>
  <c r="Z19" i="3"/>
  <c r="X19" i="3"/>
  <c r="P19" i="3"/>
  <c r="N19" i="3"/>
  <c r="L19" i="3"/>
  <c r="D19" i="3"/>
  <c r="B19" i="3"/>
  <c r="Z18" i="3"/>
  <c r="P18" i="3"/>
  <c r="X18" i="3" s="1"/>
  <c r="N18" i="3"/>
  <c r="D18" i="3"/>
  <c r="L18" i="3" s="1"/>
  <c r="B18" i="3"/>
  <c r="Z17" i="3"/>
  <c r="X17" i="3"/>
  <c r="P17" i="3"/>
  <c r="N17" i="3"/>
  <c r="L17" i="3"/>
  <c r="D17" i="3"/>
  <c r="B17" i="3"/>
  <c r="Z16" i="3"/>
  <c r="P16" i="3"/>
  <c r="X16" i="3" s="1"/>
  <c r="N16" i="3"/>
  <c r="L16" i="3"/>
  <c r="D16" i="3"/>
  <c r="B16" i="3"/>
  <c r="Z15" i="3"/>
  <c r="P15" i="3"/>
  <c r="X15" i="3" s="1"/>
  <c r="N15" i="3"/>
  <c r="D15" i="3"/>
  <c r="L15" i="3" s="1"/>
  <c r="B15" i="3"/>
  <c r="Z14" i="3"/>
  <c r="P14" i="3"/>
  <c r="X14" i="3" s="1"/>
  <c r="N14" i="3"/>
  <c r="L14" i="3"/>
  <c r="D14" i="3"/>
  <c r="B14" i="3"/>
  <c r="P13" i="3"/>
  <c r="P12" i="3" s="1"/>
  <c r="D13" i="3"/>
  <c r="L13" i="3" s="1"/>
  <c r="N13" i="3" s="1"/>
  <c r="B13" i="3"/>
  <c r="T12" i="3"/>
  <c r="V237" i="3" s="1"/>
  <c r="H12" i="3"/>
  <c r="J268" i="3" s="1"/>
  <c r="D4" i="3"/>
  <c r="T34" i="100"/>
  <c r="T33" i="100"/>
  <c r="T29" i="100"/>
  <c r="T25" i="100"/>
  <c r="T24" i="100"/>
  <c r="T22" i="100"/>
  <c r="P12" i="100"/>
  <c r="B21" i="99"/>
  <c r="D20" i="99"/>
  <c r="D16" i="99"/>
  <c r="B25" i="98"/>
  <c r="D24" i="98"/>
  <c r="D22" i="98"/>
  <c r="H20" i="98"/>
  <c r="P34" i="100"/>
  <c r="P33" i="100"/>
  <c r="P29" i="100"/>
  <c r="P25" i="100"/>
  <c r="T21" i="100"/>
  <c r="T34" i="99"/>
  <c r="T33" i="99"/>
  <c r="T29" i="99"/>
  <c r="T25" i="99"/>
  <c r="B16" i="99"/>
  <c r="D15" i="99"/>
  <c r="T12" i="99"/>
  <c r="B22" i="98"/>
  <c r="D21" i="98"/>
  <c r="H15" i="98"/>
  <c r="P24" i="100"/>
  <c r="P22" i="100"/>
  <c r="T20" i="100"/>
  <c r="T16" i="100"/>
  <c r="T13" i="100"/>
  <c r="T24" i="99"/>
  <c r="T22" i="99"/>
  <c r="P12" i="99"/>
  <c r="B21" i="98"/>
  <c r="D20" i="98"/>
  <c r="D16" i="98"/>
  <c r="P21" i="100"/>
  <c r="T15" i="100"/>
  <c r="P13" i="100"/>
  <c r="H12" i="100"/>
  <c r="P34" i="99"/>
  <c r="P33" i="99"/>
  <c r="P29" i="99"/>
  <c r="P25" i="99"/>
  <c r="T21" i="99"/>
  <c r="T34" i="98"/>
  <c r="T33" i="98"/>
  <c r="T29" i="98"/>
  <c r="T25" i="98"/>
  <c r="B16" i="98"/>
  <c r="D15" i="98"/>
  <c r="T12" i="98"/>
  <c r="P20" i="100"/>
  <c r="P16" i="100"/>
  <c r="D12" i="100"/>
  <c r="P24" i="99"/>
  <c r="P22" i="99"/>
  <c r="T20" i="99"/>
  <c r="T16" i="99"/>
  <c r="T13" i="99"/>
  <c r="T24" i="98"/>
  <c r="T22" i="98"/>
  <c r="P12" i="98"/>
  <c r="B39" i="100"/>
  <c r="H24" i="100"/>
  <c r="B16" i="100"/>
  <c r="B22" i="99"/>
  <c r="P13" i="99"/>
  <c r="B39" i="98"/>
  <c r="D29" i="98"/>
  <c r="H25" i="98"/>
  <c r="H13" i="98"/>
  <c r="B38" i="100"/>
  <c r="D34" i="100"/>
  <c r="H21" i="100"/>
  <c r="P15" i="100"/>
  <c r="P21" i="99"/>
  <c r="H20" i="99"/>
  <c r="B38" i="98"/>
  <c r="H34" i="98"/>
  <c r="T20" i="98"/>
  <c r="T15" i="98"/>
  <c r="D13" i="98"/>
  <c r="D24" i="100"/>
  <c r="T12" i="100"/>
  <c r="H33" i="99"/>
  <c r="H24" i="99"/>
  <c r="D25" i="98"/>
  <c r="B13" i="98"/>
  <c r="D21" i="100"/>
  <c r="D6" i="100"/>
  <c r="H16" i="99"/>
  <c r="H13" i="99"/>
  <c r="D34" i="98"/>
  <c r="H22" i="98"/>
  <c r="P20" i="98"/>
  <c r="P15" i="98"/>
  <c r="B21" i="100"/>
  <c r="D5" i="100"/>
  <c r="D33" i="99"/>
  <c r="H29" i="99"/>
  <c r="D24" i="99"/>
  <c r="D13" i="99"/>
  <c r="P33" i="98"/>
  <c r="P24" i="98"/>
  <c r="T16" i="98"/>
  <c r="H33" i="100"/>
  <c r="H29" i="100"/>
  <c r="H25" i="100"/>
  <c r="H15" i="100"/>
  <c r="D4" i="100"/>
  <c r="H21" i="99"/>
  <c r="T15" i="99"/>
  <c r="B13" i="99"/>
  <c r="T21" i="98"/>
  <c r="H12" i="98"/>
  <c r="H22" i="100"/>
  <c r="B39" i="99"/>
  <c r="D29" i="99"/>
  <c r="H25" i="99"/>
  <c r="P29" i="98"/>
  <c r="P16" i="98"/>
  <c r="D12" i="98"/>
  <c r="D33" i="100"/>
  <c r="D29" i="100"/>
  <c r="D25" i="100"/>
  <c r="D15" i="100"/>
  <c r="B38" i="99"/>
  <c r="H34" i="99"/>
  <c r="D21" i="99"/>
  <c r="P15" i="99"/>
  <c r="H12" i="99"/>
  <c r="P21" i="98"/>
  <c r="D6" i="98"/>
  <c r="B25" i="100"/>
  <c r="D22" i="100"/>
  <c r="H20" i="100"/>
  <c r="D25" i="99"/>
  <c r="D12" i="99"/>
  <c r="H33" i="98"/>
  <c r="P25" i="98"/>
  <c r="H24" i="98"/>
  <c r="T13" i="98"/>
  <c r="D5" i="98"/>
  <c r="H34" i="100"/>
  <c r="D16" i="100"/>
  <c r="B13" i="100"/>
  <c r="D22" i="99"/>
  <c r="P16" i="99"/>
  <c r="H15" i="99"/>
  <c r="D4" i="99"/>
  <c r="P22" i="98"/>
  <c r="H21" i="98"/>
  <c r="H16" i="100"/>
  <c r="B25" i="99"/>
  <c r="P34" i="98"/>
  <c r="H13" i="100"/>
  <c r="H22" i="99"/>
  <c r="D13" i="100"/>
  <c r="D33" i="98"/>
  <c r="H16" i="98"/>
  <c r="P20" i="99"/>
  <c r="P13" i="98"/>
  <c r="H29" i="98"/>
  <c r="D34" i="99"/>
  <c r="D4" i="98"/>
  <c r="B22" i="100"/>
  <c r="D20" i="100"/>
  <c r="D5" i="99"/>
  <c r="D6" i="99"/>
  <c r="B38" i="53"/>
  <c r="D34" i="53"/>
  <c r="D33" i="53"/>
  <c r="D29" i="53"/>
  <c r="D25" i="53"/>
  <c r="H21" i="53"/>
  <c r="D13" i="53"/>
  <c r="B39" i="52"/>
  <c r="H24" i="52"/>
  <c r="H22" i="52"/>
  <c r="H13" i="52"/>
  <c r="D4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B22" i="50"/>
  <c r="D21" i="50"/>
  <c r="H15" i="50"/>
  <c r="B25" i="49"/>
  <c r="D24" i="49"/>
  <c r="D22" i="49"/>
  <c r="H20" i="49"/>
  <c r="H16" i="49"/>
  <c r="B22" i="53"/>
  <c r="D21" i="53"/>
  <c r="H15" i="53"/>
  <c r="B25" i="52"/>
  <c r="D24" i="52"/>
  <c r="D22" i="52"/>
  <c r="H20" i="52"/>
  <c r="H16" i="52"/>
  <c r="B13" i="52"/>
  <c r="B21" i="50"/>
  <c r="D20" i="50"/>
  <c r="D16" i="50"/>
  <c r="B22" i="49"/>
  <c r="D21" i="49"/>
  <c r="H15" i="49"/>
  <c r="B21" i="53"/>
  <c r="D20" i="53"/>
  <c r="D16" i="53"/>
  <c r="B22" i="52"/>
  <c r="D21" i="52"/>
  <c r="H15" i="52"/>
  <c r="T34" i="50"/>
  <c r="T33" i="50"/>
  <c r="T29" i="50"/>
  <c r="T25" i="50"/>
  <c r="B16" i="50"/>
  <c r="D15" i="50"/>
  <c r="T12" i="50"/>
  <c r="B21" i="49"/>
  <c r="D20" i="49"/>
  <c r="D16" i="49"/>
  <c r="T24" i="53"/>
  <c r="T22" i="53"/>
  <c r="P12" i="53"/>
  <c r="T34" i="52"/>
  <c r="T33" i="52"/>
  <c r="T29" i="52"/>
  <c r="T25" i="52"/>
  <c r="B16" i="52"/>
  <c r="D15" i="52"/>
  <c r="T12" i="52"/>
  <c r="P34" i="50"/>
  <c r="P33" i="50"/>
  <c r="P29" i="50"/>
  <c r="P25" i="50"/>
  <c r="T21" i="50"/>
  <c r="T24" i="49"/>
  <c r="T22" i="49"/>
  <c r="P12" i="49"/>
  <c r="P34" i="53"/>
  <c r="P33" i="53"/>
  <c r="P29" i="53"/>
  <c r="P25" i="53"/>
  <c r="T21" i="53"/>
  <c r="T24" i="52"/>
  <c r="T22" i="52"/>
  <c r="P12" i="52"/>
  <c r="P24" i="50"/>
  <c r="P22" i="50"/>
  <c r="T20" i="50"/>
  <c r="T16" i="50"/>
  <c r="T13" i="50"/>
  <c r="P34" i="49"/>
  <c r="P33" i="49"/>
  <c r="P29" i="49"/>
  <c r="P25" i="49"/>
  <c r="T21" i="49"/>
  <c r="P24" i="53"/>
  <c r="P22" i="53"/>
  <c r="T20" i="53"/>
  <c r="T16" i="53"/>
  <c r="T13" i="53"/>
  <c r="P34" i="52"/>
  <c r="P33" i="52"/>
  <c r="P29" i="52"/>
  <c r="P25" i="52"/>
  <c r="T21" i="52"/>
  <c r="P21" i="50"/>
  <c r="T15" i="50"/>
  <c r="P13" i="50"/>
  <c r="H12" i="50"/>
  <c r="P24" i="49"/>
  <c r="P22" i="49"/>
  <c r="T20" i="49"/>
  <c r="T16" i="49"/>
  <c r="T13" i="49"/>
  <c r="P21" i="53"/>
  <c r="T15" i="53"/>
  <c r="P13" i="53"/>
  <c r="H12" i="53"/>
  <c r="P24" i="52"/>
  <c r="P22" i="52"/>
  <c r="T20" i="52"/>
  <c r="T16" i="52"/>
  <c r="T13" i="52"/>
  <c r="P20" i="53"/>
  <c r="P16" i="53"/>
  <c r="D12" i="53"/>
  <c r="P21" i="52"/>
  <c r="T15" i="52"/>
  <c r="P13" i="52"/>
  <c r="H12" i="52"/>
  <c r="H34" i="50"/>
  <c r="H33" i="50"/>
  <c r="H29" i="50"/>
  <c r="H25" i="50"/>
  <c r="P15" i="50"/>
  <c r="D5" i="50"/>
  <c r="P20" i="49"/>
  <c r="P16" i="49"/>
  <c r="D12" i="49"/>
  <c r="B39" i="53"/>
  <c r="H24" i="53"/>
  <c r="H22" i="53"/>
  <c r="H13" i="53"/>
  <c r="D4" i="53"/>
  <c r="H34" i="52"/>
  <c r="H33" i="52"/>
  <c r="H29" i="52"/>
  <c r="H25" i="52"/>
  <c r="P15" i="52"/>
  <c r="D5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D5" i="53"/>
  <c r="T24" i="50"/>
  <c r="P12" i="50"/>
  <c r="P34" i="47"/>
  <c r="P33" i="47"/>
  <c r="P29" i="47"/>
  <c r="P25" i="47"/>
  <c r="T21" i="47"/>
  <c r="T24" i="46"/>
  <c r="T22" i="46"/>
  <c r="P12" i="46"/>
  <c r="B21" i="44"/>
  <c r="D20" i="44"/>
  <c r="D16" i="44"/>
  <c r="B22" i="43"/>
  <c r="D21" i="43"/>
  <c r="H15" i="43"/>
  <c r="T29" i="53"/>
  <c r="D12" i="50"/>
  <c r="B13" i="49"/>
  <c r="P24" i="47"/>
  <c r="P22" i="47"/>
  <c r="T20" i="47"/>
  <c r="T16" i="47"/>
  <c r="T13" i="47"/>
  <c r="P34" i="46"/>
  <c r="P33" i="46"/>
  <c r="P29" i="46"/>
  <c r="P25" i="46"/>
  <c r="T21" i="46"/>
  <c r="H29" i="53"/>
  <c r="P16" i="52"/>
  <c r="B39" i="50"/>
  <c r="H24" i="50"/>
  <c r="D4" i="50"/>
  <c r="T12" i="49"/>
  <c r="P21" i="47"/>
  <c r="T15" i="47"/>
  <c r="P13" i="47"/>
  <c r="H12" i="47"/>
  <c r="P24" i="46"/>
  <c r="P22" i="46"/>
  <c r="T20" i="46"/>
  <c r="T16" i="46"/>
  <c r="T13" i="46"/>
  <c r="D16" i="52"/>
  <c r="T22" i="50"/>
  <c r="T29" i="49"/>
  <c r="H12" i="49"/>
  <c r="P20" i="47"/>
  <c r="P16" i="47"/>
  <c r="D12" i="47"/>
  <c r="P21" i="46"/>
  <c r="T15" i="46"/>
  <c r="P13" i="46"/>
  <c r="H12" i="46"/>
  <c r="P34" i="44"/>
  <c r="P33" i="44"/>
  <c r="P29" i="44"/>
  <c r="P25" i="44"/>
  <c r="T21" i="44"/>
  <c r="P16" i="50"/>
  <c r="D5" i="49"/>
  <c r="T25" i="53"/>
  <c r="H22" i="50"/>
  <c r="H29" i="49"/>
  <c r="B39" i="47"/>
  <c r="H24" i="47"/>
  <c r="H22" i="47"/>
  <c r="H13" i="47"/>
  <c r="D4" i="47"/>
  <c r="H34" i="46"/>
  <c r="H33" i="46"/>
  <c r="H29" i="46"/>
  <c r="H25" i="46"/>
  <c r="P15" i="46"/>
  <c r="D5" i="46"/>
  <c r="P21" i="44"/>
  <c r="T15" i="44"/>
  <c r="P13" i="44"/>
  <c r="H12" i="44"/>
  <c r="P24" i="43"/>
  <c r="P22" i="43"/>
  <c r="T20" i="43"/>
  <c r="T16" i="43"/>
  <c r="T13" i="43"/>
  <c r="H25" i="53"/>
  <c r="T34" i="49"/>
  <c r="B16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P20" i="44"/>
  <c r="P16" i="44"/>
  <c r="D12" i="44"/>
  <c r="P21" i="43"/>
  <c r="T15" i="43"/>
  <c r="P13" i="43"/>
  <c r="H12" i="43"/>
  <c r="T34" i="53"/>
  <c r="B16" i="53"/>
  <c r="P21" i="49"/>
  <c r="T15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H34" i="53"/>
  <c r="P15" i="53"/>
  <c r="D12" i="52"/>
  <c r="H34" i="49"/>
  <c r="P15" i="49"/>
  <c r="B22" i="47"/>
  <c r="D21" i="47"/>
  <c r="H15" i="47"/>
  <c r="B25" i="46"/>
  <c r="D24" i="46"/>
  <c r="D22" i="46"/>
  <c r="H20" i="46"/>
  <c r="H16" i="46"/>
  <c r="B13" i="46"/>
  <c r="T33" i="53"/>
  <c r="D15" i="53"/>
  <c r="B21" i="52"/>
  <c r="T33" i="49"/>
  <c r="T25" i="49"/>
  <c r="B21" i="47"/>
  <c r="D20" i="47"/>
  <c r="D16" i="47"/>
  <c r="B22" i="46"/>
  <c r="D21" i="46"/>
  <c r="H15" i="46"/>
  <c r="T12" i="53"/>
  <c r="D20" i="52"/>
  <c r="H13" i="50"/>
  <c r="H33" i="49"/>
  <c r="H25" i="49"/>
  <c r="P13" i="49"/>
  <c r="T24" i="47"/>
  <c r="T22" i="47"/>
  <c r="P12" i="47"/>
  <c r="T34" i="46"/>
  <c r="T33" i="46"/>
  <c r="T29" i="46"/>
  <c r="T25" i="46"/>
  <c r="B16" i="46"/>
  <c r="D15" i="46"/>
  <c r="T12" i="46"/>
  <c r="B22" i="44"/>
  <c r="D21" i="44"/>
  <c r="H15" i="44"/>
  <c r="B25" i="43"/>
  <c r="D24" i="43"/>
  <c r="D22" i="43"/>
  <c r="H20" i="43"/>
  <c r="H16" i="43"/>
  <c r="B13" i="43"/>
  <c r="T25" i="47"/>
  <c r="B25" i="44"/>
  <c r="H22" i="44"/>
  <c r="T20" i="44"/>
  <c r="P15" i="44"/>
  <c r="T12" i="44"/>
  <c r="D20" i="43"/>
  <c r="P16" i="43"/>
  <c r="D12" i="43"/>
  <c r="T34" i="41"/>
  <c r="T33" i="41"/>
  <c r="T29" i="41"/>
  <c r="T25" i="41"/>
  <c r="B16" i="41"/>
  <c r="D15" i="41"/>
  <c r="T12" i="41"/>
  <c r="B21" i="40"/>
  <c r="D20" i="40"/>
  <c r="D16" i="40"/>
  <c r="T24" i="38"/>
  <c r="T22" i="38"/>
  <c r="H25" i="47"/>
  <c r="T34" i="44"/>
  <c r="P12" i="44"/>
  <c r="T33" i="43"/>
  <c r="H25" i="43"/>
  <c r="D15" i="43"/>
  <c r="D5" i="43"/>
  <c r="T24" i="41"/>
  <c r="T22" i="41"/>
  <c r="P12" i="41"/>
  <c r="T34" i="40"/>
  <c r="T33" i="40"/>
  <c r="T29" i="40"/>
  <c r="T25" i="40"/>
  <c r="B16" i="40"/>
  <c r="D15" i="40"/>
  <c r="T12" i="40"/>
  <c r="P34" i="38"/>
  <c r="P33" i="38"/>
  <c r="P29" i="38"/>
  <c r="P25" i="38"/>
  <c r="T21" i="38"/>
  <c r="T34" i="47"/>
  <c r="B16" i="47"/>
  <c r="T24" i="44"/>
  <c r="D22" i="44"/>
  <c r="T22" i="43"/>
  <c r="D4" i="43"/>
  <c r="P34" i="41"/>
  <c r="P33" i="41"/>
  <c r="P29" i="41"/>
  <c r="P25" i="41"/>
  <c r="T21" i="41"/>
  <c r="T24" i="40"/>
  <c r="T22" i="40"/>
  <c r="P12" i="40"/>
  <c r="H33" i="53"/>
  <c r="H34" i="47"/>
  <c r="P15" i="47"/>
  <c r="D12" i="46"/>
  <c r="H34" i="44"/>
  <c r="P24" i="44"/>
  <c r="T16" i="44"/>
  <c r="P33" i="43"/>
  <c r="D25" i="43"/>
  <c r="H21" i="43"/>
  <c r="P24" i="41"/>
  <c r="P22" i="41"/>
  <c r="T20" i="41"/>
  <c r="T16" i="41"/>
  <c r="T13" i="41"/>
  <c r="P34" i="40"/>
  <c r="P33" i="40"/>
  <c r="P29" i="40"/>
  <c r="P25" i="40"/>
  <c r="T21" i="40"/>
  <c r="T33" i="47"/>
  <c r="D15" i="47"/>
  <c r="B21" i="46"/>
  <c r="B39" i="44"/>
  <c r="H20" i="44"/>
  <c r="D15" i="44"/>
  <c r="D5" i="44"/>
  <c r="B21" i="43"/>
  <c r="D16" i="43"/>
  <c r="P21" i="41"/>
  <c r="H33" i="47"/>
  <c r="P20" i="46"/>
  <c r="B38" i="44"/>
  <c r="D34" i="44"/>
  <c r="H24" i="44"/>
  <c r="D4" i="44"/>
  <c r="T34" i="43"/>
  <c r="H33" i="43"/>
  <c r="T29" i="43"/>
  <c r="B16" i="43"/>
  <c r="P20" i="41"/>
  <c r="P16" i="41"/>
  <c r="D12" i="41"/>
  <c r="P21" i="40"/>
  <c r="T15" i="40"/>
  <c r="P13" i="40"/>
  <c r="H12" i="40"/>
  <c r="P20" i="50"/>
  <c r="T12" i="47"/>
  <c r="D20" i="46"/>
  <c r="B39" i="43"/>
  <c r="T24" i="43"/>
  <c r="H22" i="43"/>
  <c r="H13" i="43"/>
  <c r="H34" i="41"/>
  <c r="H33" i="41"/>
  <c r="H29" i="41"/>
  <c r="H25" i="41"/>
  <c r="P15" i="41"/>
  <c r="D5" i="41"/>
  <c r="P20" i="40"/>
  <c r="P16" i="40"/>
  <c r="D12" i="40"/>
  <c r="B39" i="38"/>
  <c r="H24" i="38"/>
  <c r="H22" i="38"/>
  <c r="P20" i="52"/>
  <c r="D5" i="47"/>
  <c r="T33" i="44"/>
  <c r="T29" i="44"/>
  <c r="T25" i="44"/>
  <c r="D24" i="44"/>
  <c r="H16" i="44"/>
  <c r="T13" i="44"/>
  <c r="B38" i="43"/>
  <c r="P34" i="43"/>
  <c r="D33" i="43"/>
  <c r="P29" i="43"/>
  <c r="D13" i="43"/>
  <c r="B39" i="41"/>
  <c r="H24" i="41"/>
  <c r="H22" i="41"/>
  <c r="H13" i="41"/>
  <c r="D4" i="41"/>
  <c r="H34" i="40"/>
  <c r="H33" i="40"/>
  <c r="H29" i="40"/>
  <c r="H25" i="40"/>
  <c r="P15" i="40"/>
  <c r="D5" i="40"/>
  <c r="T29" i="47"/>
  <c r="H21" i="44"/>
  <c r="B16" i="44"/>
  <c r="P20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H29" i="47"/>
  <c r="P16" i="46"/>
  <c r="H33" i="44"/>
  <c r="H29" i="44"/>
  <c r="H25" i="44"/>
  <c r="T22" i="44"/>
  <c r="H13" i="44"/>
  <c r="H34" i="43"/>
  <c r="H29" i="43"/>
  <c r="T25" i="43"/>
  <c r="P15" i="43"/>
  <c r="T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D15" i="49"/>
  <c r="D33" i="44"/>
  <c r="D29" i="44"/>
  <c r="D25" i="44"/>
  <c r="B13" i="44"/>
  <c r="D34" i="43"/>
  <c r="D29" i="43"/>
  <c r="P25" i="43"/>
  <c r="T21" i="43"/>
  <c r="B21" i="41"/>
  <c r="D20" i="41"/>
  <c r="D16" i="41"/>
  <c r="B22" i="40"/>
  <c r="D21" i="40"/>
  <c r="H15" i="40"/>
  <c r="P12" i="43"/>
  <c r="T16" i="40"/>
  <c r="B38" i="38"/>
  <c r="P16" i="38"/>
  <c r="D12" i="38"/>
  <c r="P21" i="37"/>
  <c r="T15" i="37"/>
  <c r="P13" i="37"/>
  <c r="H12" i="37"/>
  <c r="P34" i="35"/>
  <c r="P33" i="35"/>
  <c r="P29" i="35"/>
  <c r="P25" i="35"/>
  <c r="T21" i="35"/>
  <c r="T24" i="34"/>
  <c r="T22" i="34"/>
  <c r="P12" i="34"/>
  <c r="D13" i="44"/>
  <c r="B25" i="40"/>
  <c r="H16" i="40"/>
  <c r="T34" i="38"/>
  <c r="D24" i="38"/>
  <c r="P20" i="38"/>
  <c r="P15" i="38"/>
  <c r="D5" i="38"/>
  <c r="P20" i="37"/>
  <c r="P16" i="37"/>
  <c r="D12" i="37"/>
  <c r="P24" i="35"/>
  <c r="P22" i="35"/>
  <c r="T20" i="35"/>
  <c r="T16" i="35"/>
  <c r="T13" i="35"/>
  <c r="P34" i="34"/>
  <c r="P33" i="34"/>
  <c r="P29" i="34"/>
  <c r="P25" i="34"/>
  <c r="T21" i="34"/>
  <c r="P24" i="40"/>
  <c r="H33" i="38"/>
  <c r="H25" i="38"/>
  <c r="H13" i="38"/>
  <c r="D4" i="38"/>
  <c r="H34" i="37"/>
  <c r="H33" i="37"/>
  <c r="H29" i="37"/>
  <c r="H25" i="37"/>
  <c r="P15" i="37"/>
  <c r="D5" i="37"/>
  <c r="P21" i="35"/>
  <c r="T15" i="35"/>
  <c r="P13" i="35"/>
  <c r="H12" i="35"/>
  <c r="P24" i="34"/>
  <c r="P22" i="34"/>
  <c r="T20" i="34"/>
  <c r="T16" i="34"/>
  <c r="T13" i="34"/>
  <c r="D24" i="40"/>
  <c r="D33" i="38"/>
  <c r="D25" i="38"/>
  <c r="P21" i="38"/>
  <c r="D13" i="38"/>
  <c r="B39" i="37"/>
  <c r="H24" i="37"/>
  <c r="H22" i="37"/>
  <c r="H13" i="37"/>
  <c r="D4" i="37"/>
  <c r="P20" i="35"/>
  <c r="P16" i="35"/>
  <c r="D12" i="35"/>
  <c r="P21" i="34"/>
  <c r="T15" i="34"/>
  <c r="P13" i="34"/>
  <c r="H12" i="34"/>
  <c r="D16" i="46"/>
  <c r="P22" i="40"/>
  <c r="T13" i="40"/>
  <c r="T29" i="38"/>
  <c r="B25" i="38"/>
  <c r="H20" i="38"/>
  <c r="H16" i="38"/>
  <c r="B13" i="38"/>
  <c r="B38" i="37"/>
  <c r="D34" i="37"/>
  <c r="D33" i="37"/>
  <c r="D29" i="37"/>
  <c r="D25" i="37"/>
  <c r="H21" i="37"/>
  <c r="D13" i="37"/>
  <c r="D22" i="40"/>
  <c r="B13" i="40"/>
  <c r="H34" i="38"/>
  <c r="P22" i="38"/>
  <c r="H15" i="38"/>
  <c r="B25" i="37"/>
  <c r="D24" i="37"/>
  <c r="D22" i="37"/>
  <c r="H20" i="37"/>
  <c r="H16" i="37"/>
  <c r="B13" i="37"/>
  <c r="B39" i="35"/>
  <c r="H24" i="35"/>
  <c r="H22" i="35"/>
  <c r="H13" i="35"/>
  <c r="D4" i="35"/>
  <c r="H34" i="34"/>
  <c r="H33" i="34"/>
  <c r="H29" i="34"/>
  <c r="H25" i="34"/>
  <c r="P15" i="34"/>
  <c r="D5" i="34"/>
  <c r="T15" i="41"/>
  <c r="D34" i="38"/>
  <c r="H21" i="38"/>
  <c r="D20" i="38"/>
  <c r="D16" i="38"/>
  <c r="B22" i="37"/>
  <c r="D21" i="37"/>
  <c r="H15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H24" i="43"/>
  <c r="H15" i="41"/>
  <c r="B16" i="38"/>
  <c r="D15" i="38"/>
  <c r="T12" i="38"/>
  <c r="B21" i="37"/>
  <c r="D20" i="37"/>
  <c r="D16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P13" i="41"/>
  <c r="T20" i="40"/>
  <c r="H29" i="38"/>
  <c r="P24" i="38"/>
  <c r="D21" i="38"/>
  <c r="P12" i="38"/>
  <c r="T34" i="37"/>
  <c r="T33" i="37"/>
  <c r="T29" i="37"/>
  <c r="T25" i="37"/>
  <c r="B16" i="37"/>
  <c r="D15" i="37"/>
  <c r="T12" i="37"/>
  <c r="B22" i="35"/>
  <c r="D21" i="35"/>
  <c r="H15" i="35"/>
  <c r="B25" i="34"/>
  <c r="D24" i="34"/>
  <c r="D22" i="34"/>
  <c r="H20" i="34"/>
  <c r="H16" i="34"/>
  <c r="B13" i="34"/>
  <c r="P22" i="44"/>
  <c r="H20" i="40"/>
  <c r="D29" i="38"/>
  <c r="B21" i="38"/>
  <c r="T24" i="37"/>
  <c r="T22" i="37"/>
  <c r="P12" i="37"/>
  <c r="B21" i="35"/>
  <c r="D20" i="35"/>
  <c r="D16" i="35"/>
  <c r="B22" i="34"/>
  <c r="D21" i="34"/>
  <c r="H15" i="34"/>
  <c r="D21" i="41"/>
  <c r="B22" i="38"/>
  <c r="T20" i="38"/>
  <c r="T15" i="38"/>
  <c r="P13" i="38"/>
  <c r="H12" i="38"/>
  <c r="P24" i="37"/>
  <c r="P22" i="37"/>
  <c r="T20" i="37"/>
  <c r="T16" i="37"/>
  <c r="T13" i="37"/>
  <c r="P25" i="37"/>
  <c r="T33" i="35"/>
  <c r="T25" i="35"/>
  <c r="D15" i="35"/>
  <c r="B21" i="34"/>
  <c r="B22" i="32"/>
  <c r="D21" i="32"/>
  <c r="H15" i="32"/>
  <c r="T16" i="38"/>
  <c r="H33" i="35"/>
  <c r="H25" i="35"/>
  <c r="P20" i="34"/>
  <c r="T13" i="38"/>
  <c r="T24" i="35"/>
  <c r="P12" i="35"/>
  <c r="T12" i="34"/>
  <c r="P34" i="32"/>
  <c r="P33" i="32"/>
  <c r="P29" i="32"/>
  <c r="P25" i="32"/>
  <c r="T21" i="32"/>
  <c r="T24" i="31"/>
  <c r="T22" i="31"/>
  <c r="P12" i="31"/>
  <c r="T33" i="38"/>
  <c r="T29" i="35"/>
  <c r="P21" i="32"/>
  <c r="T15" i="32"/>
  <c r="P13" i="32"/>
  <c r="H12" i="32"/>
  <c r="P24" i="31"/>
  <c r="P22" i="31"/>
  <c r="T20" i="31"/>
  <c r="T16" i="31"/>
  <c r="T13" i="31"/>
  <c r="P34" i="37"/>
  <c r="T22" i="35"/>
  <c r="T29" i="34"/>
  <c r="P20" i="32"/>
  <c r="P16" i="32"/>
  <c r="D12" i="32"/>
  <c r="P33" i="37"/>
  <c r="H29" i="35"/>
  <c r="P16" i="34"/>
  <c r="T25" i="38"/>
  <c r="T34" i="35"/>
  <c r="B16" i="35"/>
  <c r="D16" i="34"/>
  <c r="B22" i="41"/>
  <c r="P29" i="37"/>
  <c r="T34" i="34"/>
  <c r="B16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H12" i="41"/>
  <c r="D22" i="38"/>
  <c r="H34" i="35"/>
  <c r="P15" i="35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T25" i="34"/>
  <c r="B39" i="32"/>
  <c r="H24" i="32"/>
  <c r="D4" i="32"/>
  <c r="H34" i="31"/>
  <c r="P20" i="31"/>
  <c r="T34" i="29"/>
  <c r="T33" i="29"/>
  <c r="T29" i="29"/>
  <c r="T25" i="29"/>
  <c r="B16" i="29"/>
  <c r="D15" i="29"/>
  <c r="T12" i="29"/>
  <c r="B21" i="28"/>
  <c r="D20" i="28"/>
  <c r="D16" i="28"/>
  <c r="P24" i="26"/>
  <c r="P22" i="26"/>
  <c r="B21" i="32"/>
  <c r="P15" i="31"/>
  <c r="T12" i="31"/>
  <c r="T24" i="29"/>
  <c r="T22" i="29"/>
  <c r="P12" i="29"/>
  <c r="T34" i="28"/>
  <c r="T33" i="28"/>
  <c r="T29" i="28"/>
  <c r="T25" i="28"/>
  <c r="B16" i="28"/>
  <c r="D15" i="28"/>
  <c r="T12" i="28"/>
  <c r="T33" i="32"/>
  <c r="T29" i="32"/>
  <c r="T25" i="32"/>
  <c r="D15" i="32"/>
  <c r="D24" i="31"/>
  <c r="T21" i="31"/>
  <c r="H20" i="31"/>
  <c r="P34" i="29"/>
  <c r="P33" i="29"/>
  <c r="P29" i="29"/>
  <c r="P25" i="29"/>
  <c r="T21" i="29"/>
  <c r="T24" i="28"/>
  <c r="T22" i="28"/>
  <c r="P12" i="28"/>
  <c r="P20" i="26"/>
  <c r="P16" i="26"/>
  <c r="T22" i="32"/>
  <c r="T33" i="31"/>
  <c r="T29" i="31"/>
  <c r="T25" i="31"/>
  <c r="P21" i="31"/>
  <c r="H15" i="31"/>
  <c r="H12" i="31"/>
  <c r="P24" i="29"/>
  <c r="P22" i="29"/>
  <c r="T20" i="29"/>
  <c r="T16" i="29"/>
  <c r="T13" i="29"/>
  <c r="P34" i="28"/>
  <c r="P33" i="28"/>
  <c r="P29" i="28"/>
  <c r="P25" i="28"/>
  <c r="T21" i="28"/>
  <c r="H34" i="26"/>
  <c r="H33" i="26"/>
  <c r="H29" i="26"/>
  <c r="H25" i="26"/>
  <c r="D20" i="34"/>
  <c r="P22" i="32"/>
  <c r="T20" i="32"/>
  <c r="T16" i="32"/>
  <c r="T13" i="32"/>
  <c r="P33" i="31"/>
  <c r="P29" i="31"/>
  <c r="P25" i="31"/>
  <c r="D20" i="31"/>
  <c r="P16" i="31"/>
  <c r="D12" i="31"/>
  <c r="P21" i="29"/>
  <c r="T15" i="29"/>
  <c r="P13" i="29"/>
  <c r="H12" i="29"/>
  <c r="P24" i="28"/>
  <c r="P22" i="28"/>
  <c r="T20" i="28"/>
  <c r="T16" i="28"/>
  <c r="T13" i="28"/>
  <c r="B39" i="26"/>
  <c r="H24" i="26"/>
  <c r="H22" i="26"/>
  <c r="H33" i="32"/>
  <c r="H29" i="32"/>
  <c r="H25" i="32"/>
  <c r="D15" i="31"/>
  <c r="D5" i="31"/>
  <c r="T21" i="37"/>
  <c r="D15" i="34"/>
  <c r="H22" i="32"/>
  <c r="H13" i="32"/>
  <c r="H33" i="31"/>
  <c r="H29" i="31"/>
  <c r="H25" i="31"/>
  <c r="H16" i="31"/>
  <c r="H34" i="29"/>
  <c r="H33" i="29"/>
  <c r="H29" i="29"/>
  <c r="H25" i="29"/>
  <c r="P15" i="29"/>
  <c r="D5" i="29"/>
  <c r="P20" i="28"/>
  <c r="P16" i="28"/>
  <c r="D12" i="28"/>
  <c r="T12" i="35"/>
  <c r="D20" i="32"/>
  <c r="D16" i="32"/>
  <c r="B25" i="31"/>
  <c r="D21" i="31"/>
  <c r="P13" i="31"/>
  <c r="B39" i="29"/>
  <c r="H24" i="29"/>
  <c r="H22" i="29"/>
  <c r="H13" i="29"/>
  <c r="D4" i="29"/>
  <c r="H34" i="28"/>
  <c r="H33" i="28"/>
  <c r="H29" i="28"/>
  <c r="H25" i="28"/>
  <c r="P15" i="28"/>
  <c r="D5" i="28"/>
  <c r="D5" i="35"/>
  <c r="D12" i="34"/>
  <c r="T34" i="32"/>
  <c r="B16" i="32"/>
  <c r="T12" i="32"/>
  <c r="B21" i="31"/>
  <c r="D16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21" i="26"/>
  <c r="D20" i="26"/>
  <c r="H34" i="32"/>
  <c r="P15" i="32"/>
  <c r="D5" i="32"/>
  <c r="B22" i="31"/>
  <c r="T15" i="31"/>
  <c r="B21" i="29"/>
  <c r="D20" i="29"/>
  <c r="D16" i="29"/>
  <c r="B22" i="28"/>
  <c r="D21" i="28"/>
  <c r="H15" i="28"/>
  <c r="P34" i="26"/>
  <c r="P33" i="26"/>
  <c r="P29" i="26"/>
  <c r="P25" i="26"/>
  <c r="T21" i="26"/>
  <c r="P34" i="31"/>
  <c r="B25" i="29"/>
  <c r="H20" i="29"/>
  <c r="B13" i="29"/>
  <c r="D33" i="28"/>
  <c r="D25" i="28"/>
  <c r="D13" i="28"/>
  <c r="T33" i="26"/>
  <c r="T29" i="26"/>
  <c r="T25" i="26"/>
  <c r="D21" i="26"/>
  <c r="D12" i="26"/>
  <c r="P21" i="25"/>
  <c r="T15" i="25"/>
  <c r="P13" i="25"/>
  <c r="H12" i="25"/>
  <c r="T34" i="23"/>
  <c r="T33" i="23"/>
  <c r="T29" i="23"/>
  <c r="T25" i="23"/>
  <c r="B16" i="23"/>
  <c r="D15" i="23"/>
  <c r="T12" i="23"/>
  <c r="B21" i="22"/>
  <c r="D20" i="22"/>
  <c r="D16" i="22"/>
  <c r="P34" i="20"/>
  <c r="P33" i="20"/>
  <c r="P29" i="20"/>
  <c r="P25" i="20"/>
  <c r="T21" i="20"/>
  <c r="T24" i="19"/>
  <c r="T22" i="19"/>
  <c r="P12" i="19"/>
  <c r="T33" i="34"/>
  <c r="T24" i="32"/>
  <c r="B16" i="31"/>
  <c r="B25" i="28"/>
  <c r="H20" i="28"/>
  <c r="B13" i="28"/>
  <c r="T22" i="26"/>
  <c r="P15" i="26"/>
  <c r="D5" i="26"/>
  <c r="P20" i="25"/>
  <c r="P16" i="25"/>
  <c r="D12" i="25"/>
  <c r="T24" i="23"/>
  <c r="T22" i="23"/>
  <c r="P12" i="23"/>
  <c r="T34" i="22"/>
  <c r="T33" i="22"/>
  <c r="T29" i="22"/>
  <c r="T25" i="22"/>
  <c r="B16" i="22"/>
  <c r="D15" i="22"/>
  <c r="T12" i="22"/>
  <c r="P24" i="20"/>
  <c r="P22" i="20"/>
  <c r="T20" i="20"/>
  <c r="T16" i="20"/>
  <c r="T13" i="20"/>
  <c r="P34" i="19"/>
  <c r="P33" i="19"/>
  <c r="P29" i="19"/>
  <c r="P25" i="19"/>
  <c r="T21" i="19"/>
  <c r="P24" i="32"/>
  <c r="D12" i="29"/>
  <c r="H12" i="28"/>
  <c r="H13" i="26"/>
  <c r="D4" i="26"/>
  <c r="H34" i="25"/>
  <c r="H33" i="25"/>
  <c r="H29" i="25"/>
  <c r="H25" i="25"/>
  <c r="P15" i="25"/>
  <c r="D5" i="25"/>
  <c r="P34" i="23"/>
  <c r="P33" i="23"/>
  <c r="P29" i="23"/>
  <c r="P25" i="23"/>
  <c r="T21" i="23"/>
  <c r="T24" i="22"/>
  <c r="T22" i="22"/>
  <c r="P12" i="22"/>
  <c r="P21" i="20"/>
  <c r="T15" i="20"/>
  <c r="P13" i="20"/>
  <c r="H12" i="20"/>
  <c r="P24" i="19"/>
  <c r="P22" i="19"/>
  <c r="T20" i="19"/>
  <c r="T16" i="19"/>
  <c r="D24" i="29"/>
  <c r="B38" i="28"/>
  <c r="D33" i="26"/>
  <c r="D29" i="26"/>
  <c r="D25" i="26"/>
  <c r="D13" i="26"/>
  <c r="B39" i="25"/>
  <c r="H24" i="25"/>
  <c r="H22" i="25"/>
  <c r="H13" i="25"/>
  <c r="D4" i="25"/>
  <c r="P24" i="23"/>
  <c r="P22" i="23"/>
  <c r="T20" i="23"/>
  <c r="T16" i="23"/>
  <c r="T13" i="23"/>
  <c r="P34" i="22"/>
  <c r="P33" i="22"/>
  <c r="P29" i="22"/>
  <c r="P25" i="22"/>
  <c r="T21" i="22"/>
  <c r="P20" i="20"/>
  <c r="P16" i="20"/>
  <c r="D12" i="20"/>
  <c r="P21" i="19"/>
  <c r="T15" i="19"/>
  <c r="P13" i="19"/>
  <c r="H12" i="19"/>
  <c r="B13" i="31"/>
  <c r="D24" i="28"/>
  <c r="B25" i="26"/>
  <c r="D22" i="26"/>
  <c r="T20" i="26"/>
  <c r="H16" i="26"/>
  <c r="B13" i="26"/>
  <c r="B38" i="25"/>
  <c r="D34" i="25"/>
  <c r="D33" i="25"/>
  <c r="D29" i="25"/>
  <c r="D25" i="25"/>
  <c r="H21" i="25"/>
  <c r="D13" i="25"/>
  <c r="P21" i="23"/>
  <c r="T15" i="23"/>
  <c r="P13" i="23"/>
  <c r="H12" i="23"/>
  <c r="P24" i="22"/>
  <c r="P22" i="22"/>
  <c r="T20" i="22"/>
  <c r="T16" i="22"/>
  <c r="T13" i="22"/>
  <c r="P16" i="29"/>
  <c r="B22" i="26"/>
  <c r="H15" i="26"/>
  <c r="B25" i="25"/>
  <c r="D24" i="25"/>
  <c r="D22" i="25"/>
  <c r="H20" i="25"/>
  <c r="H16" i="25"/>
  <c r="B13" i="25"/>
  <c r="P20" i="23"/>
  <c r="P16" i="23"/>
  <c r="D12" i="23"/>
  <c r="P21" i="22"/>
  <c r="T15" i="22"/>
  <c r="P13" i="22"/>
  <c r="H12" i="22"/>
  <c r="B39" i="20"/>
  <c r="H24" i="20"/>
  <c r="H22" i="20"/>
  <c r="H13" i="20"/>
  <c r="D4" i="20"/>
  <c r="H34" i="19"/>
  <c r="H33" i="19"/>
  <c r="H29" i="19"/>
  <c r="H25" i="19"/>
  <c r="P15" i="19"/>
  <c r="D5" i="19"/>
  <c r="D22" i="29"/>
  <c r="H16" i="29"/>
  <c r="D29" i="28"/>
  <c r="T34" i="26"/>
  <c r="D16" i="26"/>
  <c r="B22" i="25"/>
  <c r="D21" i="25"/>
  <c r="H15" i="25"/>
  <c r="H34" i="23"/>
  <c r="H33" i="23"/>
  <c r="H29" i="23"/>
  <c r="H25" i="23"/>
  <c r="P15" i="23"/>
  <c r="D5" i="23"/>
  <c r="P20" i="22"/>
  <c r="P16" i="22"/>
  <c r="D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B22" i="29"/>
  <c r="D22" i="28"/>
  <c r="H16" i="28"/>
  <c r="T24" i="26"/>
  <c r="B16" i="26"/>
  <c r="D15" i="26"/>
  <c r="T12" i="26"/>
  <c r="B21" i="25"/>
  <c r="D20" i="25"/>
  <c r="D16" i="25"/>
  <c r="B39" i="23"/>
  <c r="H24" i="23"/>
  <c r="H22" i="23"/>
  <c r="H13" i="23"/>
  <c r="D4" i="23"/>
  <c r="H34" i="22"/>
  <c r="H33" i="22"/>
  <c r="H29" i="22"/>
  <c r="H25" i="22"/>
  <c r="P15" i="22"/>
  <c r="D5" i="22"/>
  <c r="D22" i="31"/>
  <c r="P21" i="28"/>
  <c r="T15" i="28"/>
  <c r="H20" i="26"/>
  <c r="P12" i="26"/>
  <c r="T34" i="25"/>
  <c r="T33" i="25"/>
  <c r="T29" i="25"/>
  <c r="T25" i="25"/>
  <c r="B16" i="25"/>
  <c r="D15" i="25"/>
  <c r="T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2" i="20"/>
  <c r="D21" i="20"/>
  <c r="H15" i="20"/>
  <c r="B25" i="19"/>
  <c r="D24" i="19"/>
  <c r="D22" i="19"/>
  <c r="H20" i="19"/>
  <c r="H16" i="19"/>
  <c r="B13" i="19"/>
  <c r="P12" i="32"/>
  <c r="D34" i="28"/>
  <c r="H21" i="28"/>
  <c r="D34" i="26"/>
  <c r="P21" i="26"/>
  <c r="T24" i="25"/>
  <c r="T22" i="25"/>
  <c r="P12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B21" i="20"/>
  <c r="D20" i="20"/>
  <c r="D16" i="20"/>
  <c r="B22" i="19"/>
  <c r="D21" i="19"/>
  <c r="H15" i="19"/>
  <c r="T34" i="31"/>
  <c r="P20" i="29"/>
  <c r="P13" i="28"/>
  <c r="T16" i="26"/>
  <c r="T15" i="26"/>
  <c r="P13" i="26"/>
  <c r="H12" i="26"/>
  <c r="P24" i="25"/>
  <c r="P22" i="25"/>
  <c r="T20" i="25"/>
  <c r="T16" i="25"/>
  <c r="T13" i="25"/>
  <c r="P29" i="25"/>
  <c r="H15" i="22"/>
  <c r="H34" i="20"/>
  <c r="H29" i="20"/>
  <c r="P15" i="20"/>
  <c r="P16" i="19"/>
  <c r="T12" i="19"/>
  <c r="P21" i="17"/>
  <c r="T15" i="17"/>
  <c r="P13" i="17"/>
  <c r="H12" i="17"/>
  <c r="P24" i="16"/>
  <c r="P22" i="16"/>
  <c r="T20" i="16"/>
  <c r="T16" i="16"/>
  <c r="T13" i="16"/>
  <c r="D24" i="26"/>
  <c r="D22" i="22"/>
  <c r="B13" i="22"/>
  <c r="D24" i="20"/>
  <c r="H20" i="20"/>
  <c r="D25" i="19"/>
  <c r="H21" i="19"/>
  <c r="P20" i="17"/>
  <c r="P16" i="17"/>
  <c r="D12" i="17"/>
  <c r="P21" i="16"/>
  <c r="T15" i="16"/>
  <c r="P13" i="16"/>
  <c r="H12" i="16"/>
  <c r="H21" i="26"/>
  <c r="P25" i="25"/>
  <c r="D16" i="23"/>
  <c r="B22" i="22"/>
  <c r="T33" i="20"/>
  <c r="D15" i="20"/>
  <c r="B21" i="19"/>
  <c r="D16" i="19"/>
  <c r="D12" i="19"/>
  <c r="H34" i="17"/>
  <c r="H33" i="17"/>
  <c r="H29" i="17"/>
  <c r="H25" i="17"/>
  <c r="P15" i="17"/>
  <c r="D5" i="17"/>
  <c r="P20" i="16"/>
  <c r="P16" i="16"/>
  <c r="D12" i="16"/>
  <c r="H15" i="23"/>
  <c r="T22" i="20"/>
  <c r="T34" i="19"/>
  <c r="T29" i="19"/>
  <c r="B16" i="19"/>
  <c r="B39" i="17"/>
  <c r="H24" i="17"/>
  <c r="H22" i="17"/>
  <c r="H13" i="17"/>
  <c r="D4" i="17"/>
  <c r="H34" i="16"/>
  <c r="H33" i="16"/>
  <c r="H29" i="16"/>
  <c r="H25" i="16"/>
  <c r="P15" i="16"/>
  <c r="D5" i="16"/>
  <c r="D21" i="22"/>
  <c r="H33" i="20"/>
  <c r="P20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T21" i="25"/>
  <c r="B22" i="23"/>
  <c r="H20" i="22"/>
  <c r="D22" i="20"/>
  <c r="B13" i="20"/>
  <c r="D34" i="19"/>
  <c r="D29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T13" i="26"/>
  <c r="T25" i="20"/>
  <c r="T12" i="20"/>
  <c r="D20" i="19"/>
  <c r="D21" i="23"/>
  <c r="P12" i="20"/>
  <c r="T33" i="19"/>
  <c r="D15" i="19"/>
  <c r="B21" i="17"/>
  <c r="D20" i="17"/>
  <c r="D16" i="17"/>
  <c r="B22" i="16"/>
  <c r="D21" i="16"/>
  <c r="H15" i="16"/>
  <c r="B21" i="23"/>
  <c r="H25" i="20"/>
  <c r="D5" i="20"/>
  <c r="T13" i="19"/>
  <c r="T34" i="17"/>
  <c r="T33" i="17"/>
  <c r="T29" i="17"/>
  <c r="T25" i="17"/>
  <c r="B16" i="17"/>
  <c r="D15" i="17"/>
  <c r="T12" i="17"/>
  <c r="B21" i="16"/>
  <c r="D20" i="16"/>
  <c r="D16" i="16"/>
  <c r="B38" i="26"/>
  <c r="P34" i="25"/>
  <c r="B25" i="22"/>
  <c r="H16" i="22"/>
  <c r="B25" i="20"/>
  <c r="H16" i="20"/>
  <c r="B38" i="19"/>
  <c r="D33" i="19"/>
  <c r="T24" i="17"/>
  <c r="T22" i="17"/>
  <c r="P12" i="17"/>
  <c r="T34" i="16"/>
  <c r="T33" i="16"/>
  <c r="T29" i="16"/>
  <c r="T25" i="16"/>
  <c r="B16" i="16"/>
  <c r="D15" i="16"/>
  <c r="T12" i="16"/>
  <c r="H15" i="29"/>
  <c r="D24" i="22"/>
  <c r="T24" i="20"/>
  <c r="T25" i="19"/>
  <c r="P24" i="17"/>
  <c r="P22" i="17"/>
  <c r="T20" i="17"/>
  <c r="T16" i="17"/>
  <c r="T13" i="17"/>
  <c r="P34" i="16"/>
  <c r="P33" i="16"/>
  <c r="P29" i="16"/>
  <c r="P25" i="16"/>
  <c r="T21" i="16"/>
  <c r="P33" i="17"/>
  <c r="T24" i="14"/>
  <c r="T22" i="14"/>
  <c r="P12" i="14"/>
  <c r="T34" i="13"/>
  <c r="T33" i="13"/>
  <c r="T29" i="13"/>
  <c r="T25" i="13"/>
  <c r="B16" i="13"/>
  <c r="D15" i="13"/>
  <c r="T12" i="13"/>
  <c r="P20" i="11"/>
  <c r="P16" i="11"/>
  <c r="D12" i="11"/>
  <c r="P21" i="10"/>
  <c r="T15" i="10"/>
  <c r="P13" i="10"/>
  <c r="H12" i="10"/>
  <c r="T24" i="8"/>
  <c r="T22" i="8"/>
  <c r="P12" i="8"/>
  <c r="B22" i="17"/>
  <c r="H20" i="16"/>
  <c r="P34" i="14"/>
  <c r="P33" i="14"/>
  <c r="P29" i="14"/>
  <c r="P25" i="14"/>
  <c r="T21" i="14"/>
  <c r="T24" i="13"/>
  <c r="T22" i="13"/>
  <c r="P12" i="13"/>
  <c r="H34" i="11"/>
  <c r="H33" i="11"/>
  <c r="H29" i="11"/>
  <c r="H25" i="11"/>
  <c r="P15" i="11"/>
  <c r="D5" i="11"/>
  <c r="P20" i="10"/>
  <c r="P16" i="10"/>
  <c r="D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T21" i="17"/>
  <c r="P24" i="14"/>
  <c r="P22" i="14"/>
  <c r="T20" i="14"/>
  <c r="T16" i="14"/>
  <c r="T13" i="14"/>
  <c r="P34" i="13"/>
  <c r="P33" i="13"/>
  <c r="P29" i="13"/>
  <c r="P25" i="13"/>
  <c r="T21" i="13"/>
  <c r="B39" i="11"/>
  <c r="H24" i="11"/>
  <c r="H22" i="11"/>
  <c r="H13" i="11"/>
  <c r="D4" i="11"/>
  <c r="H34" i="10"/>
  <c r="H33" i="10"/>
  <c r="H29" i="10"/>
  <c r="H25" i="10"/>
  <c r="P15" i="10"/>
  <c r="D5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P33" i="25"/>
  <c r="D13" i="19"/>
  <c r="D21" i="17"/>
  <c r="P21" i="14"/>
  <c r="T15" i="14"/>
  <c r="P13" i="14"/>
  <c r="H12" i="14"/>
  <c r="P24" i="13"/>
  <c r="P22" i="13"/>
  <c r="T20" i="13"/>
  <c r="T16" i="13"/>
  <c r="T13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D20" i="23"/>
  <c r="P29" i="17"/>
  <c r="P20" i="14"/>
  <c r="P16" i="14"/>
  <c r="D12" i="14"/>
  <c r="P21" i="13"/>
  <c r="T15" i="13"/>
  <c r="P13" i="13"/>
  <c r="H12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T34" i="20"/>
  <c r="B25" i="16"/>
  <c r="H16" i="16"/>
  <c r="H34" i="14"/>
  <c r="H33" i="14"/>
  <c r="H29" i="14"/>
  <c r="H25" i="14"/>
  <c r="P15" i="14"/>
  <c r="D5" i="14"/>
  <c r="P20" i="13"/>
  <c r="P16" i="13"/>
  <c r="D12" i="13"/>
  <c r="B22" i="11"/>
  <c r="D21" i="11"/>
  <c r="H15" i="11"/>
  <c r="B25" i="10"/>
  <c r="D24" i="10"/>
  <c r="D22" i="10"/>
  <c r="H20" i="10"/>
  <c r="H16" i="10"/>
  <c r="B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T29" i="20"/>
  <c r="T24" i="16"/>
  <c r="B39" i="14"/>
  <c r="H24" i="14"/>
  <c r="H22" i="14"/>
  <c r="H13" i="14"/>
  <c r="D4" i="14"/>
  <c r="H34" i="13"/>
  <c r="H33" i="13"/>
  <c r="H29" i="13"/>
  <c r="H25" i="13"/>
  <c r="P15" i="13"/>
  <c r="D5" i="13"/>
  <c r="D24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T34" i="11"/>
  <c r="T33" i="11"/>
  <c r="T29" i="11"/>
  <c r="T25" i="11"/>
  <c r="B16" i="11"/>
  <c r="D15" i="11"/>
  <c r="T12" i="11"/>
  <c r="B21" i="10"/>
  <c r="D20" i="10"/>
  <c r="D16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P25" i="17"/>
  <c r="T2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24" i="11"/>
  <c r="T22" i="11"/>
  <c r="P12" i="11"/>
  <c r="T34" i="10"/>
  <c r="T33" i="10"/>
  <c r="T29" i="10"/>
  <c r="T25" i="10"/>
  <c r="B16" i="10"/>
  <c r="D15" i="10"/>
  <c r="T12" i="10"/>
  <c r="B16" i="20"/>
  <c r="D22" i="16"/>
  <c r="B13" i="16"/>
  <c r="B22" i="14"/>
  <c r="D21" i="14"/>
  <c r="H15" i="14"/>
  <c r="B25" i="13"/>
  <c r="D24" i="13"/>
  <c r="D22" i="13"/>
  <c r="H20" i="13"/>
  <c r="H16" i="13"/>
  <c r="B13" i="13"/>
  <c r="P34" i="11"/>
  <c r="P33" i="11"/>
  <c r="P29" i="11"/>
  <c r="P25" i="11"/>
  <c r="T21" i="11"/>
  <c r="T24" i="10"/>
  <c r="T22" i="10"/>
  <c r="P12" i="10"/>
  <c r="B22" i="8"/>
  <c r="D21" i="8"/>
  <c r="H15" i="8"/>
  <c r="B25" i="7"/>
  <c r="D24" i="7"/>
  <c r="D22" i="7"/>
  <c r="H20" i="7"/>
  <c r="H16" i="7"/>
  <c r="B13" i="7"/>
  <c r="H15" i="17"/>
  <c r="T34" i="14"/>
  <c r="T33" i="14"/>
  <c r="T29" i="14"/>
  <c r="T25" i="14"/>
  <c r="B16" i="14"/>
  <c r="D15" i="14"/>
  <c r="T12" i="14"/>
  <c r="B21" i="13"/>
  <c r="D20" i="13"/>
  <c r="D16" i="13"/>
  <c r="P21" i="11"/>
  <c r="T15" i="11"/>
  <c r="P13" i="11"/>
  <c r="H12" i="11"/>
  <c r="P24" i="10"/>
  <c r="P22" i="10"/>
  <c r="T20" i="10"/>
  <c r="T16" i="10"/>
  <c r="T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P34" i="17"/>
  <c r="D21" i="10"/>
  <c r="B25" i="8"/>
  <c r="H16" i="8"/>
  <c r="B38" i="7"/>
  <c r="D29" i="7"/>
  <c r="T13" i="7"/>
  <c r="P21" i="5"/>
  <c r="T15" i="5"/>
  <c r="H12" i="5"/>
  <c r="P24" i="4"/>
  <c r="D21" i="13"/>
  <c r="P22" i="11"/>
  <c r="T13" i="11"/>
  <c r="P29" i="10"/>
  <c r="B39" i="8"/>
  <c r="B21" i="8"/>
  <c r="D16" i="8"/>
  <c r="H33" i="7"/>
  <c r="P24" i="7"/>
  <c r="H21" i="7"/>
  <c r="H34" i="5"/>
  <c r="P15" i="5"/>
  <c r="D5" i="5"/>
  <c r="P12" i="4"/>
  <c r="H15" i="13"/>
  <c r="T15" i="8"/>
  <c r="D33" i="7"/>
  <c r="D21" i="7"/>
  <c r="T16" i="7"/>
  <c r="D13" i="7"/>
  <c r="D24" i="5"/>
  <c r="B38" i="4"/>
  <c r="D34" i="4"/>
  <c r="H21" i="4"/>
  <c r="P21" i="8"/>
  <c r="H24" i="8"/>
  <c r="T33" i="5"/>
  <c r="T29" i="5"/>
  <c r="T25" i="5"/>
  <c r="D15" i="5"/>
  <c r="B21" i="4"/>
  <c r="P15" i="4"/>
  <c r="D16" i="11"/>
  <c r="T24" i="4"/>
  <c r="B21" i="11"/>
  <c r="D24" i="8"/>
  <c r="H20" i="8"/>
  <c r="T20" i="7"/>
  <c r="T12" i="7"/>
  <c r="P33" i="5"/>
  <c r="P29" i="5"/>
  <c r="P25" i="5"/>
  <c r="T22" i="4"/>
  <c r="D12" i="4"/>
  <c r="D21" i="29"/>
  <c r="B22" i="10"/>
  <c r="P12" i="16"/>
  <c r="T20" i="11"/>
  <c r="P25" i="10"/>
  <c r="D20" i="8"/>
  <c r="P22" i="5"/>
  <c r="T20" i="5"/>
  <c r="T16" i="5"/>
  <c r="T13" i="5"/>
  <c r="P33" i="4"/>
  <c r="P29" i="4"/>
  <c r="P25" i="4"/>
  <c r="D5" i="4"/>
  <c r="H12" i="8"/>
  <c r="H15" i="7"/>
  <c r="B21" i="14"/>
  <c r="D20" i="11"/>
  <c r="P13" i="8"/>
  <c r="T34" i="7"/>
  <c r="P22" i="7"/>
  <c r="B16" i="7"/>
  <c r="D5" i="7"/>
  <c r="P13" i="5"/>
  <c r="P22" i="4"/>
  <c r="T20" i="4"/>
  <c r="T16" i="4"/>
  <c r="D20" i="14"/>
  <c r="P34" i="10"/>
  <c r="H22" i="8"/>
  <c r="H13" i="8"/>
  <c r="T25" i="7"/>
  <c r="H33" i="5"/>
  <c r="H29" i="5"/>
  <c r="H25" i="5"/>
  <c r="P20" i="4"/>
  <c r="P16" i="4"/>
  <c r="T21" i="5"/>
  <c r="H15" i="10"/>
  <c r="D22" i="8"/>
  <c r="B13" i="8"/>
  <c r="H34" i="7"/>
  <c r="P15" i="7"/>
  <c r="B25" i="5"/>
  <c r="D22" i="5"/>
  <c r="H20" i="5"/>
  <c r="H16" i="5"/>
  <c r="B13" i="5"/>
  <c r="D33" i="4"/>
  <c r="D29" i="4"/>
  <c r="D25" i="4"/>
  <c r="T13" i="4"/>
  <c r="D16" i="14"/>
  <c r="B22" i="13"/>
  <c r="T16" i="11"/>
  <c r="P33" i="10"/>
  <c r="D34" i="7"/>
  <c r="T29" i="7"/>
  <c r="H25" i="7"/>
  <c r="B22" i="7"/>
  <c r="T34" i="5"/>
  <c r="B16" i="5"/>
  <c r="T12" i="5"/>
  <c r="D20" i="4"/>
  <c r="D25" i="7"/>
  <c r="P34" i="5"/>
  <c r="D16" i="4"/>
  <c r="P24" i="11"/>
  <c r="T21" i="10"/>
  <c r="D4" i="8"/>
  <c r="T33" i="7"/>
  <c r="H29" i="7"/>
  <c r="D15" i="7"/>
  <c r="P24" i="5"/>
  <c r="P34" i="4"/>
  <c r="T21" i="4"/>
  <c r="D13" i="4"/>
  <c r="L13" i="4" l="1"/>
  <c r="Z21" i="4"/>
  <c r="X34" i="4"/>
  <c r="X24" i="5"/>
  <c r="L15" i="7"/>
  <c r="N29" i="7"/>
  <c r="Z33" i="7"/>
  <c r="Z21" i="10"/>
  <c r="X24" i="11"/>
  <c r="L16" i="4"/>
  <c r="X34" i="5"/>
  <c r="L25" i="7"/>
  <c r="L20" i="4"/>
  <c r="Z12" i="5"/>
  <c r="V36" i="5"/>
  <c r="V34" i="5"/>
  <c r="V33" i="5"/>
  <c r="V31" i="5"/>
  <c r="V29" i="5"/>
  <c r="V27" i="5"/>
  <c r="V25" i="5"/>
  <c r="V21" i="5"/>
  <c r="V18" i="5"/>
  <c r="V22" i="5"/>
  <c r="V20" i="5"/>
  <c r="V16" i="5"/>
  <c r="V24" i="5"/>
  <c r="T18" i="5"/>
  <c r="V15" i="5"/>
  <c r="Z34" i="5"/>
  <c r="N25" i="7"/>
  <c r="Z29" i="7"/>
  <c r="L34" i="7"/>
  <c r="X33" i="10"/>
  <c r="Z16" i="11"/>
  <c r="L16" i="14"/>
  <c r="Z13" i="4"/>
  <c r="L25" i="4"/>
  <c r="L29" i="4"/>
  <c r="L33" i="4"/>
  <c r="N16" i="5"/>
  <c r="N20" i="5"/>
  <c r="L22" i="5"/>
  <c r="X15" i="7"/>
  <c r="N34" i="7"/>
  <c r="L22" i="8"/>
  <c r="N15" i="10"/>
  <c r="Z21" i="5"/>
  <c r="X16" i="4"/>
  <c r="X20" i="4"/>
  <c r="N25" i="5"/>
  <c r="N29" i="5"/>
  <c r="N33" i="5"/>
  <c r="Z25" i="7"/>
  <c r="N13" i="8"/>
  <c r="N22" i="8"/>
  <c r="X34" i="10"/>
  <c r="L20" i="14"/>
  <c r="Z16" i="4"/>
  <c r="Z20" i="4"/>
  <c r="X22" i="4"/>
  <c r="X13" i="5"/>
  <c r="X22" i="7"/>
  <c r="Z34" i="7"/>
  <c r="X13" i="8"/>
  <c r="L20" i="11"/>
  <c r="N15" i="7"/>
  <c r="N12" i="8"/>
  <c r="J36" i="8"/>
  <c r="J34" i="8"/>
  <c r="J33" i="8"/>
  <c r="J31" i="8"/>
  <c r="J29" i="8"/>
  <c r="J27" i="8"/>
  <c r="J25" i="8"/>
  <c r="J24" i="8"/>
  <c r="J22" i="8"/>
  <c r="J20" i="8"/>
  <c r="J18" i="8"/>
  <c r="J16" i="8"/>
  <c r="J15" i="8"/>
  <c r="H18" i="8"/>
  <c r="J21" i="8"/>
  <c r="X25" i="4"/>
  <c r="X29" i="4"/>
  <c r="X33" i="4"/>
  <c r="Z13" i="5"/>
  <c r="Z16" i="5"/>
  <c r="Z20" i="5"/>
  <c r="X22" i="5"/>
  <c r="L20" i="8"/>
  <c r="X25" i="10"/>
  <c r="Z20" i="11"/>
  <c r="R21" i="16"/>
  <c r="R20" i="16"/>
  <c r="R18" i="16"/>
  <c r="R16" i="16"/>
  <c r="P18" i="16"/>
  <c r="R15" i="16"/>
  <c r="X12" i="16"/>
  <c r="R24" i="16"/>
  <c r="R22" i="16"/>
  <c r="R29" i="16"/>
  <c r="R27" i="16"/>
  <c r="R36" i="16"/>
  <c r="R25" i="16"/>
  <c r="R34" i="16"/>
  <c r="R33" i="16"/>
  <c r="R31" i="16"/>
  <c r="L21" i="29"/>
  <c r="F36" i="4"/>
  <c r="F34" i="4"/>
  <c r="F33" i="4"/>
  <c r="F31" i="4"/>
  <c r="F29" i="4"/>
  <c r="F27" i="4"/>
  <c r="F25" i="4"/>
  <c r="F21" i="4"/>
  <c r="F20" i="4"/>
  <c r="F18" i="4"/>
  <c r="F16" i="4"/>
  <c r="F24" i="4"/>
  <c r="D18" i="4"/>
  <c r="L12" i="4"/>
  <c r="F15" i="4"/>
  <c r="F22" i="4"/>
  <c r="Z22" i="4"/>
  <c r="X25" i="5"/>
  <c r="X29" i="5"/>
  <c r="X33" i="5"/>
  <c r="V21" i="7"/>
  <c r="V20" i="7"/>
  <c r="V18" i="7"/>
  <c r="V16" i="7"/>
  <c r="V36" i="7"/>
  <c r="V34" i="7"/>
  <c r="V33" i="7"/>
  <c r="V31" i="7"/>
  <c r="V29" i="7"/>
  <c r="V27" i="7"/>
  <c r="V25" i="7"/>
  <c r="V24" i="7"/>
  <c r="Z12" i="7"/>
  <c r="V22" i="7"/>
  <c r="V15" i="7"/>
  <c r="T18" i="7"/>
  <c r="Z20" i="7"/>
  <c r="N20" i="8"/>
  <c r="L24" i="8"/>
  <c r="Z24" i="4"/>
  <c r="L16" i="11"/>
  <c r="X15" i="4"/>
  <c r="L15" i="5"/>
  <c r="Z25" i="5"/>
  <c r="Z29" i="5"/>
  <c r="Z33" i="5"/>
  <c r="N24" i="8"/>
  <c r="X21" i="8"/>
  <c r="N21" i="4"/>
  <c r="L34" i="4"/>
  <c r="L24" i="5"/>
  <c r="L13" i="7"/>
  <c r="Z16" i="7"/>
  <c r="L21" i="7"/>
  <c r="L33" i="7"/>
  <c r="Z15" i="8"/>
  <c r="N15" i="13"/>
  <c r="R20" i="4"/>
  <c r="R18" i="4"/>
  <c r="R16" i="4"/>
  <c r="R21" i="4"/>
  <c r="X12" i="4"/>
  <c r="P18" i="4"/>
  <c r="R15" i="4"/>
  <c r="R36" i="4"/>
  <c r="R33" i="4"/>
  <c r="R29" i="4"/>
  <c r="R25" i="4"/>
  <c r="R31" i="4"/>
  <c r="R22" i="4"/>
  <c r="R27" i="4"/>
  <c r="R24" i="4"/>
  <c r="R34" i="4"/>
  <c r="X15" i="5"/>
  <c r="N34" i="5"/>
  <c r="N21" i="7"/>
  <c r="X24" i="7"/>
  <c r="N33" i="7"/>
  <c r="L16" i="8"/>
  <c r="X29" i="10"/>
  <c r="Z13" i="11"/>
  <c r="X22" i="11"/>
  <c r="L21" i="13"/>
  <c r="X24" i="4"/>
  <c r="J21" i="5"/>
  <c r="J20" i="5"/>
  <c r="J18" i="5"/>
  <c r="J16" i="5"/>
  <c r="J36" i="5"/>
  <c r="J34" i="5"/>
  <c r="J33" i="5"/>
  <c r="J31" i="5"/>
  <c r="J29" i="5"/>
  <c r="J27" i="5"/>
  <c r="J25" i="5"/>
  <c r="J24" i="5"/>
  <c r="H18" i="5"/>
  <c r="J15" i="5"/>
  <c r="J22" i="5"/>
  <c r="N12" i="5"/>
  <c r="Z15" i="5"/>
  <c r="X21" i="5"/>
  <c r="Z13" i="7"/>
  <c r="L29" i="7"/>
  <c r="N16" i="8"/>
  <c r="L21" i="10"/>
  <c r="X34" i="17"/>
  <c r="J24" i="4"/>
  <c r="J22" i="4"/>
  <c r="J21" i="4"/>
  <c r="H18" i="4"/>
  <c r="J15" i="4"/>
  <c r="J34" i="4"/>
  <c r="J31" i="4"/>
  <c r="J27" i="4"/>
  <c r="J18" i="4"/>
  <c r="N12" i="4"/>
  <c r="J36" i="4"/>
  <c r="J33" i="4"/>
  <c r="J29" i="4"/>
  <c r="J25" i="4"/>
  <c r="J20" i="4"/>
  <c r="J16" i="4"/>
  <c r="X13" i="4"/>
  <c r="Z15" i="4"/>
  <c r="X21" i="4"/>
  <c r="F36" i="5"/>
  <c r="F34" i="5"/>
  <c r="F33" i="5"/>
  <c r="F31" i="5"/>
  <c r="F29" i="5"/>
  <c r="F27" i="5"/>
  <c r="F25" i="5"/>
  <c r="F24" i="5"/>
  <c r="F22" i="5"/>
  <c r="F20" i="5"/>
  <c r="F18" i="5"/>
  <c r="F16" i="5"/>
  <c r="D18" i="5"/>
  <c r="F15" i="5"/>
  <c r="F21" i="5"/>
  <c r="L12" i="5"/>
  <c r="X16" i="5"/>
  <c r="X20" i="5"/>
  <c r="L16" i="7"/>
  <c r="L20" i="7"/>
  <c r="V21" i="8"/>
  <c r="V20" i="8"/>
  <c r="V18" i="8"/>
  <c r="V16" i="8"/>
  <c r="T18" i="8"/>
  <c r="V15" i="8"/>
  <c r="Z12" i="8"/>
  <c r="V24" i="8"/>
  <c r="V22" i="8"/>
  <c r="V31" i="8"/>
  <c r="V36" i="8"/>
  <c r="V29" i="8"/>
  <c r="V34" i="8"/>
  <c r="V27" i="8"/>
  <c r="V33" i="8"/>
  <c r="V25" i="8"/>
  <c r="L15" i="8"/>
  <c r="Z25" i="8"/>
  <c r="Z29" i="8"/>
  <c r="Z33" i="8"/>
  <c r="Z34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13" i="11"/>
  <c r="Z15" i="11"/>
  <c r="X21" i="11"/>
  <c r="L16" i="13"/>
  <c r="L20" i="13"/>
  <c r="V21" i="14"/>
  <c r="V20" i="14"/>
  <c r="V18" i="14"/>
  <c r="V16" i="14"/>
  <c r="T18" i="14"/>
  <c r="V15" i="14"/>
  <c r="Z12" i="14"/>
  <c r="V24" i="14"/>
  <c r="V22" i="14"/>
  <c r="V29" i="14"/>
  <c r="V27" i="14"/>
  <c r="V25" i="14"/>
  <c r="V33" i="14"/>
  <c r="V36" i="14"/>
  <c r="V34" i="14"/>
  <c r="V31" i="14"/>
  <c r="L15" i="14"/>
  <c r="Z25" i="14"/>
  <c r="Z29" i="14"/>
  <c r="Z33" i="14"/>
  <c r="Z34" i="14"/>
  <c r="N15" i="17"/>
  <c r="N16" i="7"/>
  <c r="N20" i="7"/>
  <c r="L22" i="7"/>
  <c r="L24" i="7"/>
  <c r="N15" i="8"/>
  <c r="L21" i="8"/>
  <c r="R20" i="10"/>
  <c r="R18" i="10"/>
  <c r="R16" i="10"/>
  <c r="P18" i="10"/>
  <c r="R15" i="10"/>
  <c r="X12" i="10"/>
  <c r="R36" i="10"/>
  <c r="R34" i="10"/>
  <c r="R33" i="10"/>
  <c r="R31" i="10"/>
  <c r="R29" i="10"/>
  <c r="R27" i="10"/>
  <c r="R25" i="10"/>
  <c r="R21" i="10"/>
  <c r="R24" i="10"/>
  <c r="R22" i="10"/>
  <c r="Z22" i="10"/>
  <c r="Z24" i="10"/>
  <c r="Z21" i="11"/>
  <c r="X25" i="11"/>
  <c r="X29" i="11"/>
  <c r="X33" i="11"/>
  <c r="X34" i="11"/>
  <c r="N16" i="13"/>
  <c r="N20" i="13"/>
  <c r="L22" i="13"/>
  <c r="L24" i="13"/>
  <c r="N15" i="14"/>
  <c r="L21" i="14"/>
  <c r="L22" i="16"/>
  <c r="V36" i="10"/>
  <c r="V34" i="10"/>
  <c r="V33" i="10"/>
  <c r="V31" i="10"/>
  <c r="V29" i="10"/>
  <c r="V27" i="10"/>
  <c r="V25" i="10"/>
  <c r="V24" i="10"/>
  <c r="V22" i="10"/>
  <c r="V21" i="10"/>
  <c r="T18" i="10"/>
  <c r="V15" i="10"/>
  <c r="V20" i="10"/>
  <c r="V18" i="10"/>
  <c r="V16" i="10"/>
  <c r="Z12" i="10"/>
  <c r="L15" i="10"/>
  <c r="Z25" i="10"/>
  <c r="Z29" i="10"/>
  <c r="Z33" i="10"/>
  <c r="Z34" i="10"/>
  <c r="P18" i="11"/>
  <c r="R15" i="11"/>
  <c r="R36" i="11"/>
  <c r="R34" i="11"/>
  <c r="R33" i="11"/>
  <c r="R31" i="11"/>
  <c r="R29" i="11"/>
  <c r="R27" i="11"/>
  <c r="R25" i="11"/>
  <c r="R24" i="11"/>
  <c r="R22" i="11"/>
  <c r="R20" i="11"/>
  <c r="R18" i="11"/>
  <c r="R16" i="11"/>
  <c r="X12" i="11"/>
  <c r="R21" i="11"/>
  <c r="Z22" i="11"/>
  <c r="Z24" i="11"/>
  <c r="L13" i="13"/>
  <c r="N21" i="13"/>
  <c r="L25" i="13"/>
  <c r="L29" i="13"/>
  <c r="L33" i="13"/>
  <c r="L34" i="13"/>
  <c r="N16" i="14"/>
  <c r="N20" i="14"/>
  <c r="L22" i="14"/>
  <c r="L24" i="14"/>
  <c r="Z22" i="16"/>
  <c r="X25" i="17"/>
  <c r="Z12" i="4"/>
  <c r="V24" i="4"/>
  <c r="V22" i="4"/>
  <c r="T18" i="4"/>
  <c r="V15" i="4"/>
  <c r="V21" i="4"/>
  <c r="V36" i="4"/>
  <c r="V33" i="4"/>
  <c r="V29" i="4"/>
  <c r="V25" i="4"/>
  <c r="V20" i="4"/>
  <c r="V16" i="4"/>
  <c r="V34" i="4"/>
  <c r="V31" i="4"/>
  <c r="V27" i="4"/>
  <c r="V18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P18" i="5"/>
  <c r="R15" i="5"/>
  <c r="R18" i="5"/>
  <c r="R24" i="5"/>
  <c r="R22" i="5"/>
  <c r="R20" i="5"/>
  <c r="R16" i="5"/>
  <c r="R21" i="5"/>
  <c r="Z22" i="5"/>
  <c r="Z24" i="5"/>
  <c r="N13" i="7"/>
  <c r="N22" i="7"/>
  <c r="N24" i="7"/>
  <c r="L13" i="8"/>
  <c r="N21" i="8"/>
  <c r="L25" i="8"/>
  <c r="L29" i="8"/>
  <c r="L33" i="8"/>
  <c r="L34" i="8"/>
  <c r="L16" i="10"/>
  <c r="L20" i="10"/>
  <c r="Z12" i="11"/>
  <c r="V24" i="11"/>
  <c r="V22" i="11"/>
  <c r="V21" i="11"/>
  <c r="V20" i="11"/>
  <c r="V18" i="11"/>
  <c r="V16" i="11"/>
  <c r="V33" i="11"/>
  <c r="V31" i="11"/>
  <c r="V29" i="11"/>
  <c r="V27" i="11"/>
  <c r="T18" i="11"/>
  <c r="V36" i="11"/>
  <c r="V25" i="11"/>
  <c r="V15" i="11"/>
  <c r="V34" i="11"/>
  <c r="L15" i="11"/>
  <c r="Z25" i="11"/>
  <c r="Z29" i="11"/>
  <c r="Z33" i="11"/>
  <c r="Z34" i="11"/>
  <c r="N13" i="13"/>
  <c r="N22" i="13"/>
  <c r="N24" i="13"/>
  <c r="L13" i="14"/>
  <c r="N21" i="14"/>
  <c r="L25" i="14"/>
  <c r="L29" i="14"/>
  <c r="L33" i="14"/>
  <c r="L34" i="14"/>
  <c r="L24" i="16"/>
  <c r="X15" i="13"/>
  <c r="N25" i="13"/>
  <c r="N29" i="13"/>
  <c r="N33" i="13"/>
  <c r="N34" i="13"/>
  <c r="N13" i="14"/>
  <c r="N22" i="14"/>
  <c r="N24" i="14"/>
  <c r="Z24" i="16"/>
  <c r="Z29" i="20"/>
  <c r="N15" i="4"/>
  <c r="L21" i="4"/>
  <c r="L16" i="5"/>
  <c r="L20" i="5"/>
  <c r="F36" i="7"/>
  <c r="F34" i="7"/>
  <c r="F33" i="7"/>
  <c r="F31" i="7"/>
  <c r="F29" i="7"/>
  <c r="F27" i="7"/>
  <c r="F25" i="7"/>
  <c r="F21" i="7"/>
  <c r="D18" i="7"/>
  <c r="F15" i="7"/>
  <c r="F18" i="7"/>
  <c r="F24" i="7"/>
  <c r="F16" i="7"/>
  <c r="L12" i="7"/>
  <c r="F20" i="7"/>
  <c r="F22" i="7"/>
  <c r="X16" i="7"/>
  <c r="X20" i="7"/>
  <c r="X15" i="8"/>
  <c r="N25" i="8"/>
  <c r="N29" i="8"/>
  <c r="N33" i="8"/>
  <c r="N34" i="8"/>
  <c r="N16" i="10"/>
  <c r="N20" i="10"/>
  <c r="L22" i="10"/>
  <c r="L24" i="10"/>
  <c r="N15" i="11"/>
  <c r="L21" i="11"/>
  <c r="L12" i="13"/>
  <c r="F36" i="13"/>
  <c r="F34" i="13"/>
  <c r="F33" i="13"/>
  <c r="F31" i="13"/>
  <c r="F29" i="13"/>
  <c r="F27" i="13"/>
  <c r="F25" i="13"/>
  <c r="F24" i="13"/>
  <c r="F22" i="13"/>
  <c r="F21" i="13"/>
  <c r="D18" i="13"/>
  <c r="F15" i="13"/>
  <c r="F18" i="13"/>
  <c r="F16" i="13"/>
  <c r="F20" i="13"/>
  <c r="X16" i="13"/>
  <c r="X20" i="13"/>
  <c r="X15" i="14"/>
  <c r="N25" i="14"/>
  <c r="N29" i="14"/>
  <c r="N33" i="14"/>
  <c r="N34" i="14"/>
  <c r="N16" i="16"/>
  <c r="Z34" i="20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1" i="7"/>
  <c r="H18" i="7"/>
  <c r="J15" i="7"/>
  <c r="J24" i="7"/>
  <c r="J16" i="7"/>
  <c r="J20" i="7"/>
  <c r="J22" i="7"/>
  <c r="J18" i="7"/>
  <c r="X13" i="7"/>
  <c r="Z15" i="7"/>
  <c r="X21" i="7"/>
  <c r="L12" i="8"/>
  <c r="F24" i="8"/>
  <c r="F22" i="8"/>
  <c r="F20" i="8"/>
  <c r="F18" i="8"/>
  <c r="F16" i="8"/>
  <c r="F21" i="8"/>
  <c r="F31" i="8"/>
  <c r="F36" i="8"/>
  <c r="F29" i="8"/>
  <c r="F33" i="8"/>
  <c r="F15" i="8"/>
  <c r="F34" i="8"/>
  <c r="F27" i="8"/>
  <c r="D18" i="8"/>
  <c r="F25" i="8"/>
  <c r="X16" i="8"/>
  <c r="X20" i="8"/>
  <c r="L13" i="10"/>
  <c r="N21" i="10"/>
  <c r="L25" i="10"/>
  <c r="L29" i="10"/>
  <c r="L33" i="10"/>
  <c r="L34" i="10"/>
  <c r="N16" i="11"/>
  <c r="N20" i="11"/>
  <c r="L22" i="11"/>
  <c r="L24" i="11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F15" i="14"/>
  <c r="D18" i="14"/>
  <c r="X16" i="14"/>
  <c r="X20" i="14"/>
  <c r="X29" i="17"/>
  <c r="L20" i="23"/>
  <c r="N13" i="10"/>
  <c r="N22" i="10"/>
  <c r="N24" i="10"/>
  <c r="L13" i="11"/>
  <c r="N21" i="11"/>
  <c r="L25" i="11"/>
  <c r="L29" i="11"/>
  <c r="L33" i="11"/>
  <c r="L34" i="11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L21" i="17"/>
  <c r="L13" i="19"/>
  <c r="X33" i="25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5" i="10"/>
  <c r="N25" i="10"/>
  <c r="N29" i="10"/>
  <c r="N33" i="10"/>
  <c r="N34" i="10"/>
  <c r="N13" i="11"/>
  <c r="N22" i="11"/>
  <c r="N24" i="11"/>
  <c r="Z21" i="13"/>
  <c r="X25" i="13"/>
  <c r="X29" i="13"/>
  <c r="X33" i="13"/>
  <c r="X34" i="13"/>
  <c r="Z13" i="14"/>
  <c r="Z16" i="14"/>
  <c r="Z20" i="14"/>
  <c r="X22" i="14"/>
  <c r="X24" i="14"/>
  <c r="Z21" i="17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0" i="7"/>
  <c r="R18" i="7"/>
  <c r="R16" i="7"/>
  <c r="P18" i="7"/>
  <c r="R15" i="7"/>
  <c r="X12" i="7"/>
  <c r="R21" i="7"/>
  <c r="Z22" i="7"/>
  <c r="Z24" i="7"/>
  <c r="Z21" i="8"/>
  <c r="X25" i="8"/>
  <c r="X29" i="8"/>
  <c r="X33" i="8"/>
  <c r="X34" i="8"/>
  <c r="F36" i="10"/>
  <c r="F34" i="10"/>
  <c r="F33" i="10"/>
  <c r="F31" i="10"/>
  <c r="F29" i="10"/>
  <c r="F27" i="10"/>
  <c r="F25" i="10"/>
  <c r="F24" i="10"/>
  <c r="F22" i="10"/>
  <c r="F21" i="10"/>
  <c r="D18" i="10"/>
  <c r="F15" i="10"/>
  <c r="L12" i="10"/>
  <c r="F20" i="10"/>
  <c r="F18" i="10"/>
  <c r="F16" i="10"/>
  <c r="X16" i="10"/>
  <c r="X20" i="10"/>
  <c r="X15" i="11"/>
  <c r="N25" i="11"/>
  <c r="N29" i="11"/>
  <c r="N33" i="11"/>
  <c r="N34" i="11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X12" i="13"/>
  <c r="Z22" i="13"/>
  <c r="Z24" i="13"/>
  <c r="Z21" i="14"/>
  <c r="X25" i="14"/>
  <c r="X29" i="14"/>
  <c r="X33" i="14"/>
  <c r="X34" i="14"/>
  <c r="N20" i="16"/>
  <c r="R36" i="8"/>
  <c r="R34" i="8"/>
  <c r="R33" i="8"/>
  <c r="R31" i="8"/>
  <c r="R29" i="8"/>
  <c r="R27" i="8"/>
  <c r="R25" i="8"/>
  <c r="R24" i="8"/>
  <c r="R22" i="8"/>
  <c r="R21" i="8"/>
  <c r="P18" i="8"/>
  <c r="R15" i="8"/>
  <c r="R20" i="8"/>
  <c r="R16" i="8"/>
  <c r="R18" i="8"/>
  <c r="X12" i="8"/>
  <c r="Z22" i="8"/>
  <c r="Z24" i="8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N12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F15" i="11"/>
  <c r="L12" i="11"/>
  <c r="D18" i="11"/>
  <c r="X16" i="11"/>
  <c r="X20" i="11"/>
  <c r="V24" i="13"/>
  <c r="V22" i="13"/>
  <c r="V21" i="13"/>
  <c r="V20" i="13"/>
  <c r="V18" i="13"/>
  <c r="V16" i="13"/>
  <c r="T18" i="13"/>
  <c r="V15" i="13"/>
  <c r="V36" i="13"/>
  <c r="V34" i="13"/>
  <c r="V33" i="13"/>
  <c r="V31" i="13"/>
  <c r="V29" i="13"/>
  <c r="V27" i="13"/>
  <c r="V25" i="13"/>
  <c r="Z12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X33" i="17"/>
  <c r="Z21" i="16"/>
  <c r="X25" i="16"/>
  <c r="X29" i="16"/>
  <c r="X33" i="16"/>
  <c r="X34" i="16"/>
  <c r="Z13" i="17"/>
  <c r="Z16" i="17"/>
  <c r="Z20" i="17"/>
  <c r="X22" i="17"/>
  <c r="X24" i="17"/>
  <c r="Z25" i="19"/>
  <c r="Z24" i="20"/>
  <c r="L24" i="22"/>
  <c r="N15" i="29"/>
  <c r="T18" i="16"/>
  <c r="V15" i="16"/>
  <c r="Z12" i="16"/>
  <c r="V36" i="16"/>
  <c r="V34" i="16"/>
  <c r="V33" i="16"/>
  <c r="V31" i="16"/>
  <c r="V29" i="16"/>
  <c r="V27" i="16"/>
  <c r="V25" i="16"/>
  <c r="V24" i="16"/>
  <c r="V22" i="16"/>
  <c r="V20" i="16"/>
  <c r="V18" i="16"/>
  <c r="V16" i="16"/>
  <c r="V21" i="16"/>
  <c r="L15" i="16"/>
  <c r="Z25" i="16"/>
  <c r="Z29" i="16"/>
  <c r="Z33" i="16"/>
  <c r="Z34" i="16"/>
  <c r="R20" i="17"/>
  <c r="R18" i="17"/>
  <c r="R16" i="17"/>
  <c r="P18" i="17"/>
  <c r="R15" i="17"/>
  <c r="X12" i="17"/>
  <c r="R36" i="17"/>
  <c r="R34" i="17"/>
  <c r="R33" i="17"/>
  <c r="R31" i="17"/>
  <c r="R29" i="17"/>
  <c r="R27" i="17"/>
  <c r="R25" i="17"/>
  <c r="R21" i="17"/>
  <c r="R22" i="17"/>
  <c r="R24" i="17"/>
  <c r="Z22" i="17"/>
  <c r="Z24" i="17"/>
  <c r="L33" i="19"/>
  <c r="N16" i="20"/>
  <c r="N16" i="22"/>
  <c r="X34" i="25"/>
  <c r="L16" i="16"/>
  <c r="L20" i="16"/>
  <c r="V36" i="17"/>
  <c r="V34" i="17"/>
  <c r="V33" i="17"/>
  <c r="V31" i="17"/>
  <c r="V29" i="17"/>
  <c r="V27" i="17"/>
  <c r="V25" i="17"/>
  <c r="V24" i="17"/>
  <c r="V22" i="17"/>
  <c r="V21" i="17"/>
  <c r="T18" i="17"/>
  <c r="V15" i="17"/>
  <c r="Z12" i="17"/>
  <c r="V20" i="17"/>
  <c r="V18" i="17"/>
  <c r="V16" i="17"/>
  <c r="L15" i="17"/>
  <c r="Z25" i="17"/>
  <c r="Z29" i="17"/>
  <c r="Z33" i="17"/>
  <c r="Z34" i="17"/>
  <c r="Z13" i="19"/>
  <c r="N25" i="20"/>
  <c r="N15" i="16"/>
  <c r="L21" i="16"/>
  <c r="L16" i="17"/>
  <c r="L20" i="17"/>
  <c r="L15" i="19"/>
  <c r="Z33" i="19"/>
  <c r="R24" i="20"/>
  <c r="R22" i="20"/>
  <c r="R21" i="20"/>
  <c r="R20" i="20"/>
  <c r="R18" i="20"/>
  <c r="R16" i="20"/>
  <c r="P18" i="20"/>
  <c r="R15" i="20"/>
  <c r="X12" i="20"/>
  <c r="R33" i="20"/>
  <c r="R27" i="20"/>
  <c r="R36" i="20"/>
  <c r="R31" i="20"/>
  <c r="R25" i="20"/>
  <c r="R34" i="20"/>
  <c r="R29" i="20"/>
  <c r="L21" i="23"/>
  <c r="L20" i="19"/>
  <c r="V20" i="20"/>
  <c r="V18" i="20"/>
  <c r="V16" i="20"/>
  <c r="T18" i="20"/>
  <c r="V15" i="20"/>
  <c r="Z12" i="20"/>
  <c r="V36" i="20"/>
  <c r="V34" i="20"/>
  <c r="V33" i="20"/>
  <c r="V31" i="20"/>
  <c r="V29" i="20"/>
  <c r="V27" i="20"/>
  <c r="V25" i="20"/>
  <c r="V22" i="20"/>
  <c r="V21" i="20"/>
  <c r="V24" i="20"/>
  <c r="Z25" i="20"/>
  <c r="Z13" i="26"/>
  <c r="L13" i="16"/>
  <c r="N21" i="16"/>
  <c r="L25" i="16"/>
  <c r="L29" i="16"/>
  <c r="L33" i="16"/>
  <c r="L34" i="16"/>
  <c r="N16" i="17"/>
  <c r="N20" i="17"/>
  <c r="L22" i="17"/>
  <c r="L24" i="17"/>
  <c r="L29" i="19"/>
  <c r="L34" i="19"/>
  <c r="L22" i="20"/>
  <c r="N20" i="22"/>
  <c r="Z21" i="25"/>
  <c r="N13" i="16"/>
  <c r="N22" i="16"/>
  <c r="N24" i="16"/>
  <c r="L13" i="17"/>
  <c r="N21" i="17"/>
  <c r="L25" i="17"/>
  <c r="L29" i="17"/>
  <c r="L33" i="17"/>
  <c r="L34" i="17"/>
  <c r="X20" i="19"/>
  <c r="N33" i="20"/>
  <c r="L21" i="22"/>
  <c r="X15" i="16"/>
  <c r="N25" i="16"/>
  <c r="N29" i="16"/>
  <c r="N33" i="16"/>
  <c r="N34" i="16"/>
  <c r="N13" i="17"/>
  <c r="N22" i="17"/>
  <c r="N24" i="17"/>
  <c r="Z29" i="19"/>
  <c r="Z34" i="19"/>
  <c r="Z22" i="20"/>
  <c r="N15" i="23"/>
  <c r="L12" i="16"/>
  <c r="F36" i="16"/>
  <c r="F34" i="16"/>
  <c r="F33" i="16"/>
  <c r="F31" i="16"/>
  <c r="F29" i="16"/>
  <c r="F27" i="16"/>
  <c r="F25" i="16"/>
  <c r="F24" i="16"/>
  <c r="F22" i="16"/>
  <c r="F20" i="16"/>
  <c r="F18" i="16"/>
  <c r="F16" i="16"/>
  <c r="D18" i="16"/>
  <c r="F15" i="16"/>
  <c r="F21" i="16"/>
  <c r="X16" i="16"/>
  <c r="X20" i="16"/>
  <c r="X15" i="17"/>
  <c r="N25" i="17"/>
  <c r="N29" i="17"/>
  <c r="N33" i="17"/>
  <c r="N34" i="17"/>
  <c r="F36" i="19"/>
  <c r="F34" i="19"/>
  <c r="F33" i="19"/>
  <c r="F31" i="19"/>
  <c r="F29" i="19"/>
  <c r="F27" i="19"/>
  <c r="F25" i="19"/>
  <c r="F21" i="19"/>
  <c r="F20" i="19"/>
  <c r="F18" i="19"/>
  <c r="F16" i="19"/>
  <c r="L12" i="19"/>
  <c r="F24" i="19"/>
  <c r="F15" i="19"/>
  <c r="F22" i="19"/>
  <c r="D18" i="19"/>
  <c r="L16" i="19"/>
  <c r="L15" i="20"/>
  <c r="Z33" i="20"/>
  <c r="L16" i="23"/>
  <c r="X25" i="25"/>
  <c r="N21" i="2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N12" i="16"/>
  <c r="H18" i="16"/>
  <c r="J15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1" i="17"/>
  <c r="D18" i="17"/>
  <c r="F15" i="17"/>
  <c r="L12" i="17"/>
  <c r="F20" i="17"/>
  <c r="F18" i="17"/>
  <c r="F16" i="17"/>
  <c r="X16" i="17"/>
  <c r="X20" i="17"/>
  <c r="N21" i="19"/>
  <c r="L25" i="19"/>
  <c r="N20" i="20"/>
  <c r="L24" i="20"/>
  <c r="L22" i="22"/>
  <c r="L24" i="26"/>
  <c r="Z13" i="16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N12" i="17"/>
  <c r="X13" i="17"/>
  <c r="Z15" i="17"/>
  <c r="X21" i="17"/>
  <c r="V21" i="19"/>
  <c r="V20" i="19"/>
  <c r="V18" i="19"/>
  <c r="V16" i="19"/>
  <c r="T18" i="19"/>
  <c r="V15" i="19"/>
  <c r="Z12" i="19"/>
  <c r="V34" i="19"/>
  <c r="V29" i="19"/>
  <c r="V24" i="19"/>
  <c r="V33" i="19"/>
  <c r="V27" i="19"/>
  <c r="V22" i="19"/>
  <c r="V25" i="19"/>
  <c r="V31" i="19"/>
  <c r="V36" i="19"/>
  <c r="X16" i="19"/>
  <c r="X15" i="20"/>
  <c r="N29" i="20"/>
  <c r="N34" i="20"/>
  <c r="N15" i="22"/>
  <c r="X29" i="25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J16" i="26"/>
  <c r="J15" i="26"/>
  <c r="J18" i="26"/>
  <c r="H18" i="26"/>
  <c r="J20" i="26"/>
  <c r="N12" i="26"/>
  <c r="X13" i="26"/>
  <c r="Z15" i="26"/>
  <c r="Z16" i="26"/>
  <c r="X13" i="28"/>
  <c r="X20" i="29"/>
  <c r="Z34" i="31"/>
  <c r="N15" i="19"/>
  <c r="L21" i="19"/>
  <c r="L16" i="20"/>
  <c r="L20" i="20"/>
  <c r="L13" i="22"/>
  <c r="N21" i="22"/>
  <c r="L25" i="22"/>
  <c r="L29" i="22"/>
  <c r="L33" i="22"/>
  <c r="L34" i="22"/>
  <c r="N16" i="23"/>
  <c r="N20" i="23"/>
  <c r="L22" i="23"/>
  <c r="L24" i="23"/>
  <c r="R20" i="25"/>
  <c r="R18" i="25"/>
  <c r="R16" i="25"/>
  <c r="P18" i="25"/>
  <c r="R15" i="25"/>
  <c r="X12" i="25"/>
  <c r="R36" i="25"/>
  <c r="R34" i="25"/>
  <c r="R33" i="25"/>
  <c r="R31" i="25"/>
  <c r="R29" i="25"/>
  <c r="R27" i="25"/>
  <c r="R25" i="25"/>
  <c r="R21" i="25"/>
  <c r="R24" i="25"/>
  <c r="R22" i="25"/>
  <c r="Z22" i="25"/>
  <c r="Z24" i="25"/>
  <c r="X21" i="26"/>
  <c r="L34" i="26"/>
  <c r="N21" i="28"/>
  <c r="L34" i="28"/>
  <c r="R24" i="32"/>
  <c r="R22" i="32"/>
  <c r="R20" i="32"/>
  <c r="R18" i="32"/>
  <c r="R16" i="32"/>
  <c r="P18" i="32"/>
  <c r="R15" i="32"/>
  <c r="R36" i="32"/>
  <c r="R33" i="32"/>
  <c r="R29" i="32"/>
  <c r="R25" i="32"/>
  <c r="X12" i="32"/>
  <c r="R21" i="32"/>
  <c r="R34" i="32"/>
  <c r="R31" i="32"/>
  <c r="R27" i="32"/>
  <c r="N16" i="19"/>
  <c r="N20" i="19"/>
  <c r="L22" i="19"/>
  <c r="L24" i="19"/>
  <c r="N15" i="20"/>
  <c r="L21" i="20"/>
  <c r="N13" i="22"/>
  <c r="N22" i="22"/>
  <c r="N24" i="22"/>
  <c r="L13" i="23"/>
  <c r="N21" i="23"/>
  <c r="L25" i="23"/>
  <c r="L29" i="23"/>
  <c r="L33" i="23"/>
  <c r="L34" i="23"/>
  <c r="Z12" i="25"/>
  <c r="V36" i="25"/>
  <c r="V34" i="25"/>
  <c r="V33" i="25"/>
  <c r="V31" i="25"/>
  <c r="V29" i="25"/>
  <c r="V27" i="25"/>
  <c r="V25" i="25"/>
  <c r="V24" i="25"/>
  <c r="V22" i="25"/>
  <c r="V21" i="25"/>
  <c r="T18" i="25"/>
  <c r="V15" i="25"/>
  <c r="V20" i="25"/>
  <c r="V18" i="25"/>
  <c r="V16" i="25"/>
  <c r="L15" i="25"/>
  <c r="Z25" i="25"/>
  <c r="Z29" i="25"/>
  <c r="Z33" i="25"/>
  <c r="Z34" i="25"/>
  <c r="P18" i="26"/>
  <c r="R24" i="26"/>
  <c r="R22" i="26"/>
  <c r="R16" i="26"/>
  <c r="R15" i="26"/>
  <c r="R36" i="26"/>
  <c r="R33" i="26"/>
  <c r="R29" i="26"/>
  <c r="R25" i="26"/>
  <c r="R18" i="26"/>
  <c r="R20" i="26"/>
  <c r="X12" i="26"/>
  <c r="R34" i="26"/>
  <c r="R31" i="26"/>
  <c r="R27" i="26"/>
  <c r="R21" i="26"/>
  <c r="N20" i="26"/>
  <c r="Z15" i="28"/>
  <c r="X21" i="28"/>
  <c r="L22" i="31"/>
  <c r="X15" i="22"/>
  <c r="N25" i="22"/>
  <c r="N29" i="22"/>
  <c r="N33" i="22"/>
  <c r="N34" i="22"/>
  <c r="N13" i="23"/>
  <c r="N22" i="23"/>
  <c r="N24" i="23"/>
  <c r="L16" i="25"/>
  <c r="L20" i="25"/>
  <c r="V36" i="26"/>
  <c r="V34" i="26"/>
  <c r="V33" i="26"/>
  <c r="V31" i="26"/>
  <c r="V29" i="26"/>
  <c r="V27" i="26"/>
  <c r="V25" i="26"/>
  <c r="V22" i="26"/>
  <c r="V18" i="26"/>
  <c r="T18" i="26"/>
  <c r="V20" i="26"/>
  <c r="Z12" i="26"/>
  <c r="V24" i="26"/>
  <c r="V21" i="26"/>
  <c r="V16" i="26"/>
  <c r="V15" i="26"/>
  <c r="L15" i="26"/>
  <c r="Z24" i="26"/>
  <c r="N16" i="28"/>
  <c r="L22" i="28"/>
  <c r="N13" i="19"/>
  <c r="N22" i="19"/>
  <c r="N24" i="19"/>
  <c r="L13" i="20"/>
  <c r="N21" i="20"/>
  <c r="L25" i="20"/>
  <c r="L29" i="20"/>
  <c r="L33" i="20"/>
  <c r="L34" i="20"/>
  <c r="D18" i="22"/>
  <c r="F15" i="22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X16" i="22"/>
  <c r="X20" i="22"/>
  <c r="X15" i="23"/>
  <c r="N25" i="23"/>
  <c r="N29" i="23"/>
  <c r="N33" i="23"/>
  <c r="N34" i="23"/>
  <c r="N15" i="25"/>
  <c r="L21" i="25"/>
  <c r="L16" i="26"/>
  <c r="Z34" i="26"/>
  <c r="L29" i="28"/>
  <c r="N16" i="29"/>
  <c r="L22" i="29"/>
  <c r="X15" i="19"/>
  <c r="N25" i="19"/>
  <c r="N29" i="19"/>
  <c r="N33" i="19"/>
  <c r="N34" i="19"/>
  <c r="N13" i="20"/>
  <c r="N22" i="20"/>
  <c r="N24" i="20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D18" i="23"/>
  <c r="F16" i="23"/>
  <c r="F15" i="23"/>
  <c r="F20" i="23"/>
  <c r="F18" i="23"/>
  <c r="X16" i="23"/>
  <c r="X20" i="23"/>
  <c r="N16" i="25"/>
  <c r="N20" i="25"/>
  <c r="L22" i="25"/>
  <c r="L24" i="25"/>
  <c r="N15" i="26"/>
  <c r="X16" i="29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L13" i="25"/>
  <c r="N21" i="25"/>
  <c r="L25" i="25"/>
  <c r="L29" i="25"/>
  <c r="L33" i="25"/>
  <c r="L34" i="25"/>
  <c r="N16" i="26"/>
  <c r="Z20" i="26"/>
  <c r="L22" i="26"/>
  <c r="L24" i="28"/>
  <c r="N12" i="19"/>
  <c r="J24" i="19"/>
  <c r="J22" i="19"/>
  <c r="J21" i="19"/>
  <c r="H18" i="19"/>
  <c r="J15" i="19"/>
  <c r="J36" i="19"/>
  <c r="J31" i="19"/>
  <c r="J25" i="19"/>
  <c r="J16" i="19"/>
  <c r="J34" i="19"/>
  <c r="J29" i="19"/>
  <c r="J20" i="19"/>
  <c r="J33" i="19"/>
  <c r="J27" i="19"/>
  <c r="J18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0" i="20"/>
  <c r="F18" i="20"/>
  <c r="F16" i="20"/>
  <c r="D18" i="20"/>
  <c r="F15" i="20"/>
  <c r="F21" i="20"/>
  <c r="X16" i="20"/>
  <c r="X20" i="20"/>
  <c r="Z21" i="22"/>
  <c r="X25" i="22"/>
  <c r="X29" i="22"/>
  <c r="X33" i="22"/>
  <c r="X34" i="22"/>
  <c r="Z13" i="23"/>
  <c r="Z16" i="23"/>
  <c r="Z20" i="23"/>
  <c r="X22" i="23"/>
  <c r="X24" i="23"/>
  <c r="N13" i="25"/>
  <c r="N22" i="25"/>
  <c r="N24" i="25"/>
  <c r="L13" i="26"/>
  <c r="L25" i="26"/>
  <c r="L29" i="26"/>
  <c r="L33" i="26"/>
  <c r="L24" i="29"/>
  <c r="Z16" i="19"/>
  <c r="Z20" i="19"/>
  <c r="X22" i="19"/>
  <c r="X24" i="19"/>
  <c r="N12" i="20"/>
  <c r="J36" i="20"/>
  <c r="J34" i="20"/>
  <c r="J33" i="20"/>
  <c r="J31" i="20"/>
  <c r="J29" i="20"/>
  <c r="J27" i="20"/>
  <c r="J25" i="20"/>
  <c r="J21" i="20"/>
  <c r="J20" i="20"/>
  <c r="J18" i="20"/>
  <c r="J16" i="20"/>
  <c r="J24" i="20"/>
  <c r="J15" i="20"/>
  <c r="J22" i="20"/>
  <c r="H18" i="20"/>
  <c r="X13" i="20"/>
  <c r="Z15" i="20"/>
  <c r="X21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X15" i="25"/>
  <c r="N25" i="25"/>
  <c r="N29" i="25"/>
  <c r="N33" i="25"/>
  <c r="N34" i="25"/>
  <c r="N13" i="26"/>
  <c r="N12" i="28"/>
  <c r="J36" i="28"/>
  <c r="J34" i="28"/>
  <c r="J33" i="28"/>
  <c r="J31" i="28"/>
  <c r="J29" i="28"/>
  <c r="J27" i="28"/>
  <c r="J25" i="28"/>
  <c r="J24" i="28"/>
  <c r="J22" i="28"/>
  <c r="J21" i="28"/>
  <c r="J20" i="28"/>
  <c r="J18" i="28"/>
  <c r="H18" i="28"/>
  <c r="J16" i="28"/>
  <c r="J15" i="28"/>
  <c r="L12" i="29"/>
  <c r="F36" i="29"/>
  <c r="F34" i="29"/>
  <c r="F33" i="29"/>
  <c r="F31" i="29"/>
  <c r="F29" i="29"/>
  <c r="F27" i="29"/>
  <c r="F25" i="29"/>
  <c r="F24" i="29"/>
  <c r="F22" i="29"/>
  <c r="D18" i="29"/>
  <c r="F15" i="29"/>
  <c r="F20" i="29"/>
  <c r="F18" i="29"/>
  <c r="F16" i="29"/>
  <c r="F21" i="29"/>
  <c r="X24" i="32"/>
  <c r="Z21" i="19"/>
  <c r="X25" i="19"/>
  <c r="X29" i="19"/>
  <c r="X33" i="19"/>
  <c r="X34" i="19"/>
  <c r="Z13" i="20"/>
  <c r="Z16" i="20"/>
  <c r="Z20" i="20"/>
  <c r="X22" i="20"/>
  <c r="X24" i="20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Z12" i="22"/>
  <c r="L15" i="22"/>
  <c r="Z25" i="22"/>
  <c r="Z29" i="22"/>
  <c r="Z33" i="22"/>
  <c r="Z34" i="22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X12" i="23"/>
  <c r="Z22" i="23"/>
  <c r="Z24" i="23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L12" i="25"/>
  <c r="X16" i="25"/>
  <c r="X20" i="25"/>
  <c r="X15" i="26"/>
  <c r="Z22" i="26"/>
  <c r="N20" i="28"/>
  <c r="Z24" i="32"/>
  <c r="Z33" i="34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R15" i="19"/>
  <c r="P18" i="19"/>
  <c r="X12" i="19"/>
  <c r="Z22" i="19"/>
  <c r="Z24" i="19"/>
  <c r="Z21" i="20"/>
  <c r="X25" i="20"/>
  <c r="X29" i="20"/>
  <c r="X33" i="20"/>
  <c r="X34" i="20"/>
  <c r="L16" i="22"/>
  <c r="L20" i="22"/>
  <c r="V24" i="23"/>
  <c r="V22" i="23"/>
  <c r="V21" i="23"/>
  <c r="V20" i="23"/>
  <c r="V18" i="23"/>
  <c r="V16" i="23"/>
  <c r="T18" i="23"/>
  <c r="V15" i="23"/>
  <c r="V36" i="23"/>
  <c r="V25" i="23"/>
  <c r="V34" i="23"/>
  <c r="V33" i="23"/>
  <c r="Z12" i="23"/>
  <c r="V31" i="23"/>
  <c r="V29" i="23"/>
  <c r="V27" i="23"/>
  <c r="L15" i="23"/>
  <c r="Z25" i="23"/>
  <c r="Z29" i="23"/>
  <c r="Z33" i="23"/>
  <c r="Z34" i="23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N12" i="25"/>
  <c r="X13" i="25"/>
  <c r="Z15" i="25"/>
  <c r="X21" i="25"/>
  <c r="F36" i="26"/>
  <c r="F34" i="26"/>
  <c r="F33" i="26"/>
  <c r="F31" i="26"/>
  <c r="F29" i="26"/>
  <c r="F27" i="26"/>
  <c r="F25" i="26"/>
  <c r="D18" i="26"/>
  <c r="F22" i="26"/>
  <c r="F16" i="26"/>
  <c r="F15" i="26"/>
  <c r="F18" i="26"/>
  <c r="F24" i="26"/>
  <c r="F20" i="26"/>
  <c r="F21" i="26"/>
  <c r="L12" i="26"/>
  <c r="L21" i="26"/>
  <c r="Z25" i="26"/>
  <c r="Z29" i="26"/>
  <c r="Z33" i="26"/>
  <c r="L13" i="28"/>
  <c r="L25" i="28"/>
  <c r="L33" i="28"/>
  <c r="N20" i="29"/>
  <c r="X34" i="31"/>
  <c r="Z21" i="26"/>
  <c r="X25" i="26"/>
  <c r="X29" i="26"/>
  <c r="X33" i="26"/>
  <c r="X34" i="26"/>
  <c r="N15" i="28"/>
  <c r="L21" i="28"/>
  <c r="L16" i="29"/>
  <c r="L20" i="29"/>
  <c r="Z15" i="31"/>
  <c r="X15" i="32"/>
  <c r="N34" i="32"/>
  <c r="L20" i="26"/>
  <c r="N13" i="28"/>
  <c r="N22" i="28"/>
  <c r="N24" i="28"/>
  <c r="L13" i="29"/>
  <c r="N21" i="29"/>
  <c r="L25" i="29"/>
  <c r="L29" i="29"/>
  <c r="L33" i="29"/>
  <c r="L34" i="29"/>
  <c r="L16" i="31"/>
  <c r="Z12" i="32"/>
  <c r="V20" i="32"/>
  <c r="V18" i="32"/>
  <c r="V16" i="32"/>
  <c r="V36" i="32"/>
  <c r="V33" i="32"/>
  <c r="V29" i="32"/>
  <c r="V25" i="32"/>
  <c r="V22" i="32"/>
  <c r="V34" i="32"/>
  <c r="V31" i="32"/>
  <c r="V27" i="32"/>
  <c r="V24" i="32"/>
  <c r="V21" i="32"/>
  <c r="T18" i="32"/>
  <c r="V15" i="32"/>
  <c r="Z34" i="32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F15" i="34"/>
  <c r="D18" i="34"/>
  <c r="X15" i="28"/>
  <c r="N25" i="28"/>
  <c r="N29" i="28"/>
  <c r="N33" i="28"/>
  <c r="N34" i="28"/>
  <c r="N13" i="29"/>
  <c r="N22" i="29"/>
  <c r="N24" i="29"/>
  <c r="X13" i="31"/>
  <c r="L21" i="31"/>
  <c r="L16" i="32"/>
  <c r="L20" i="32"/>
  <c r="V20" i="35"/>
  <c r="V18" i="35"/>
  <c r="V16" i="35"/>
  <c r="T18" i="35"/>
  <c r="V15" i="35"/>
  <c r="Z12" i="35"/>
  <c r="V36" i="35"/>
  <c r="V34" i="35"/>
  <c r="V33" i="35"/>
  <c r="V31" i="35"/>
  <c r="V29" i="35"/>
  <c r="V27" i="35"/>
  <c r="V25" i="35"/>
  <c r="V22" i="35"/>
  <c r="V21" i="35"/>
  <c r="V24" i="35"/>
  <c r="D18" i="28"/>
  <c r="F15" i="28"/>
  <c r="L12" i="28"/>
  <c r="F36" i="28"/>
  <c r="F34" i="28"/>
  <c r="F33" i="28"/>
  <c r="F31" i="28"/>
  <c r="F29" i="28"/>
  <c r="F27" i="28"/>
  <c r="F25" i="28"/>
  <c r="F20" i="28"/>
  <c r="F18" i="28"/>
  <c r="F16" i="28"/>
  <c r="F24" i="28"/>
  <c r="F22" i="28"/>
  <c r="F21" i="28"/>
  <c r="X16" i="28"/>
  <c r="X20" i="28"/>
  <c r="X15" i="29"/>
  <c r="N25" i="29"/>
  <c r="N29" i="29"/>
  <c r="N33" i="29"/>
  <c r="N34" i="29"/>
  <c r="N16" i="31"/>
  <c r="N25" i="31"/>
  <c r="N29" i="31"/>
  <c r="N33" i="31"/>
  <c r="N13" i="32"/>
  <c r="N22" i="32"/>
  <c r="L15" i="34"/>
  <c r="Z21" i="37"/>
  <c r="L15" i="31"/>
  <c r="N25" i="32"/>
  <c r="N29" i="32"/>
  <c r="N33" i="32"/>
  <c r="N22" i="26"/>
  <c r="N24" i="26"/>
  <c r="Z13" i="28"/>
  <c r="Z16" i="28"/>
  <c r="Z20" i="28"/>
  <c r="X22" i="28"/>
  <c r="X24" i="28"/>
  <c r="N12" i="29"/>
  <c r="J24" i="29"/>
  <c r="J22" i="29"/>
  <c r="J21" i="29"/>
  <c r="J20" i="29"/>
  <c r="J18" i="29"/>
  <c r="J16" i="29"/>
  <c r="J31" i="29"/>
  <c r="H18" i="29"/>
  <c r="J36" i="29"/>
  <c r="J29" i="29"/>
  <c r="J34" i="29"/>
  <c r="J27" i="29"/>
  <c r="J15" i="29"/>
  <c r="J33" i="29"/>
  <c r="J25" i="29"/>
  <c r="X13" i="29"/>
  <c r="Z15" i="29"/>
  <c r="X21" i="29"/>
  <c r="L12" i="31"/>
  <c r="F36" i="31"/>
  <c r="F34" i="31"/>
  <c r="F33" i="31"/>
  <c r="F31" i="31"/>
  <c r="F29" i="31"/>
  <c r="F27" i="31"/>
  <c r="F25" i="31"/>
  <c r="F24" i="31"/>
  <c r="F22" i="31"/>
  <c r="D18" i="31"/>
  <c r="F20" i="31"/>
  <c r="F15" i="31"/>
  <c r="F21" i="31"/>
  <c r="F16" i="31"/>
  <c r="F18" i="31"/>
  <c r="X16" i="31"/>
  <c r="L20" i="31"/>
  <c r="X25" i="31"/>
  <c r="X29" i="31"/>
  <c r="X33" i="31"/>
  <c r="Z13" i="32"/>
  <c r="Z16" i="32"/>
  <c r="Z20" i="32"/>
  <c r="X22" i="32"/>
  <c r="L20" i="34"/>
  <c r="N25" i="26"/>
  <c r="N29" i="26"/>
  <c r="N33" i="26"/>
  <c r="N34" i="26"/>
  <c r="Z21" i="28"/>
  <c r="X25" i="28"/>
  <c r="X29" i="28"/>
  <c r="X33" i="28"/>
  <c r="X34" i="28"/>
  <c r="Z13" i="29"/>
  <c r="Z16" i="29"/>
  <c r="Z20" i="29"/>
  <c r="X22" i="29"/>
  <c r="X24" i="29"/>
  <c r="J21" i="31"/>
  <c r="J20" i="31"/>
  <c r="J18" i="31"/>
  <c r="J16" i="31"/>
  <c r="J24" i="31"/>
  <c r="J15" i="31"/>
  <c r="N12" i="31"/>
  <c r="J36" i="31"/>
  <c r="J33" i="31"/>
  <c r="J29" i="31"/>
  <c r="J25" i="31"/>
  <c r="J34" i="31"/>
  <c r="J31" i="31"/>
  <c r="J27" i="31"/>
  <c r="H18" i="31"/>
  <c r="J22" i="31"/>
  <c r="N15" i="31"/>
  <c r="X21" i="31"/>
  <c r="Z25" i="31"/>
  <c r="Z29" i="31"/>
  <c r="Z33" i="31"/>
  <c r="Z22" i="32"/>
  <c r="X16" i="26"/>
  <c r="X20" i="26"/>
  <c r="X12" i="28"/>
  <c r="R36" i="28"/>
  <c r="R34" i="28"/>
  <c r="R33" i="28"/>
  <c r="R31" i="28"/>
  <c r="R29" i="28"/>
  <c r="R27" i="28"/>
  <c r="R25" i="28"/>
  <c r="R24" i="28"/>
  <c r="R22" i="28"/>
  <c r="R21" i="28"/>
  <c r="P18" i="28"/>
  <c r="R15" i="28"/>
  <c r="R18" i="28"/>
  <c r="R16" i="28"/>
  <c r="R20" i="28"/>
  <c r="Z22" i="28"/>
  <c r="Z24" i="28"/>
  <c r="Z21" i="29"/>
  <c r="X25" i="29"/>
  <c r="X29" i="29"/>
  <c r="X33" i="29"/>
  <c r="X34" i="29"/>
  <c r="N20" i="31"/>
  <c r="Z21" i="31"/>
  <c r="L24" i="31"/>
  <c r="L15" i="32"/>
  <c r="Z25" i="32"/>
  <c r="Z29" i="32"/>
  <c r="Z33" i="32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Z12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X12" i="29"/>
  <c r="P18" i="29"/>
  <c r="R15" i="29"/>
  <c r="Z22" i="29"/>
  <c r="Z24" i="29"/>
  <c r="V21" i="31"/>
  <c r="T18" i="31"/>
  <c r="V15" i="31"/>
  <c r="V36" i="31"/>
  <c r="V33" i="31"/>
  <c r="V29" i="31"/>
  <c r="V25" i="31"/>
  <c r="V16" i="31"/>
  <c r="V22" i="31"/>
  <c r="V18" i="31"/>
  <c r="V34" i="31"/>
  <c r="V31" i="31"/>
  <c r="V27" i="31"/>
  <c r="Z12" i="31"/>
  <c r="V24" i="31"/>
  <c r="V20" i="31"/>
  <c r="X15" i="31"/>
  <c r="X22" i="26"/>
  <c r="X24" i="26"/>
  <c r="L16" i="28"/>
  <c r="L20" i="28"/>
  <c r="V24" i="29"/>
  <c r="V22" i="29"/>
  <c r="V21" i="29"/>
  <c r="V20" i="29"/>
  <c r="V18" i="29"/>
  <c r="V16" i="29"/>
  <c r="T18" i="29"/>
  <c r="V15" i="29"/>
  <c r="V36" i="29"/>
  <c r="V34" i="29"/>
  <c r="V33" i="29"/>
  <c r="V31" i="29"/>
  <c r="V29" i="29"/>
  <c r="V27" i="29"/>
  <c r="V25" i="29"/>
  <c r="Z12" i="29"/>
  <c r="L15" i="29"/>
  <c r="Z25" i="29"/>
  <c r="Z29" i="29"/>
  <c r="Z33" i="29"/>
  <c r="Z34" i="29"/>
  <c r="X20" i="31"/>
  <c r="N34" i="31"/>
  <c r="N24" i="32"/>
  <c r="Z25" i="34"/>
  <c r="L13" i="31"/>
  <c r="N21" i="31"/>
  <c r="L25" i="31"/>
  <c r="L29" i="31"/>
  <c r="L33" i="31"/>
  <c r="L34" i="31"/>
  <c r="N16" i="32"/>
  <c r="N20" i="32"/>
  <c r="L22" i="32"/>
  <c r="L24" i="32"/>
  <c r="X15" i="35"/>
  <c r="N34" i="35"/>
  <c r="L22" i="38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N13" i="31"/>
  <c r="N22" i="31"/>
  <c r="N24" i="31"/>
  <c r="L13" i="32"/>
  <c r="N21" i="32"/>
  <c r="L25" i="32"/>
  <c r="L29" i="32"/>
  <c r="L33" i="32"/>
  <c r="L34" i="32"/>
  <c r="Z34" i="34"/>
  <c r="X29" i="37"/>
  <c r="L16" i="34"/>
  <c r="Z34" i="35"/>
  <c r="Z25" i="38"/>
  <c r="X16" i="34"/>
  <c r="N29" i="35"/>
  <c r="X33" i="37"/>
  <c r="F20" i="32"/>
  <c r="F18" i="32"/>
  <c r="F16" i="32"/>
  <c r="F24" i="32"/>
  <c r="F22" i="32"/>
  <c r="F21" i="32"/>
  <c r="F34" i="32"/>
  <c r="F31" i="32"/>
  <c r="F27" i="32"/>
  <c r="D18" i="32"/>
  <c r="F15" i="32"/>
  <c r="F36" i="32"/>
  <c r="F33" i="32"/>
  <c r="F29" i="32"/>
  <c r="F25" i="32"/>
  <c r="L12" i="32"/>
  <c r="X16" i="32"/>
  <c r="X20" i="32"/>
  <c r="Z29" i="34"/>
  <c r="Z22" i="35"/>
  <c r="X34" i="37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0" i="32"/>
  <c r="J18" i="32"/>
  <c r="J16" i="32"/>
  <c r="H18" i="32"/>
  <c r="J15" i="32"/>
  <c r="J21" i="32"/>
  <c r="J22" i="32"/>
  <c r="J24" i="32"/>
  <c r="X13" i="32"/>
  <c r="Z15" i="32"/>
  <c r="X21" i="32"/>
  <c r="Z29" i="35"/>
  <c r="Z33" i="38"/>
  <c r="R36" i="31"/>
  <c r="R34" i="31"/>
  <c r="R33" i="31"/>
  <c r="R31" i="31"/>
  <c r="R29" i="31"/>
  <c r="R27" i="31"/>
  <c r="R25" i="31"/>
  <c r="R21" i="31"/>
  <c r="R15" i="31"/>
  <c r="X12" i="31"/>
  <c r="R16" i="31"/>
  <c r="R22" i="31"/>
  <c r="R18" i="31"/>
  <c r="P18" i="31"/>
  <c r="R24" i="31"/>
  <c r="R20" i="31"/>
  <c r="Z22" i="31"/>
  <c r="Z24" i="31"/>
  <c r="Z21" i="32"/>
  <c r="X25" i="32"/>
  <c r="X29" i="32"/>
  <c r="X33" i="32"/>
  <c r="X34" i="32"/>
  <c r="V21" i="34"/>
  <c r="V20" i="34"/>
  <c r="V18" i="34"/>
  <c r="V16" i="34"/>
  <c r="T18" i="34"/>
  <c r="V15" i="34"/>
  <c r="Z12" i="34"/>
  <c r="V33" i="34"/>
  <c r="V25" i="34"/>
  <c r="V24" i="34"/>
  <c r="V36" i="34"/>
  <c r="V29" i="34"/>
  <c r="V22" i="34"/>
  <c r="V34" i="34"/>
  <c r="V27" i="34"/>
  <c r="V31" i="34"/>
  <c r="R24" i="35"/>
  <c r="R22" i="35"/>
  <c r="R21" i="35"/>
  <c r="R20" i="35"/>
  <c r="R18" i="35"/>
  <c r="R16" i="35"/>
  <c r="P18" i="35"/>
  <c r="R15" i="35"/>
  <c r="X12" i="35"/>
  <c r="R31" i="35"/>
  <c r="R36" i="35"/>
  <c r="R29" i="35"/>
  <c r="R34" i="35"/>
  <c r="R27" i="35"/>
  <c r="R25" i="35"/>
  <c r="R33" i="35"/>
  <c r="Z24" i="35"/>
  <c r="Z13" i="38"/>
  <c r="X20" i="34"/>
  <c r="N25" i="35"/>
  <c r="N33" i="35"/>
  <c r="Z16" i="38"/>
  <c r="N15" i="32"/>
  <c r="L21" i="32"/>
  <c r="L15" i="35"/>
  <c r="Z25" i="35"/>
  <c r="Z33" i="35"/>
  <c r="X25" i="37"/>
  <c r="Z13" i="37"/>
  <c r="Z16" i="37"/>
  <c r="Z20" i="37"/>
  <c r="X22" i="37"/>
  <c r="X24" i="37"/>
  <c r="J21" i="38"/>
  <c r="J33" i="38"/>
  <c r="J25" i="38"/>
  <c r="J20" i="38"/>
  <c r="J18" i="38"/>
  <c r="J16" i="38"/>
  <c r="J34" i="38"/>
  <c r="J27" i="38"/>
  <c r="H18" i="38"/>
  <c r="J15" i="38"/>
  <c r="J36" i="38"/>
  <c r="J29" i="38"/>
  <c r="J22" i="38"/>
  <c r="N12" i="38"/>
  <c r="J24" i="38"/>
  <c r="J31" i="38"/>
  <c r="X13" i="38"/>
  <c r="Z15" i="38"/>
  <c r="Z20" i="38"/>
  <c r="L21" i="41"/>
  <c r="N15" i="34"/>
  <c r="L21" i="34"/>
  <c r="L16" i="35"/>
  <c r="L20" i="35"/>
  <c r="R20" i="37"/>
  <c r="R18" i="37"/>
  <c r="R16" i="37"/>
  <c r="P18" i="37"/>
  <c r="R15" i="37"/>
  <c r="X12" i="37"/>
  <c r="R36" i="37"/>
  <c r="R34" i="37"/>
  <c r="R33" i="37"/>
  <c r="R31" i="37"/>
  <c r="R29" i="37"/>
  <c r="R27" i="37"/>
  <c r="R25" i="37"/>
  <c r="R21" i="37"/>
  <c r="R22" i="37"/>
  <c r="R24" i="37"/>
  <c r="Z22" i="37"/>
  <c r="Z24" i="37"/>
  <c r="L29" i="38"/>
  <c r="N20" i="40"/>
  <c r="X22" i="44"/>
  <c r="N16" i="34"/>
  <c r="N20" i="34"/>
  <c r="L22" i="34"/>
  <c r="L24" i="34"/>
  <c r="N15" i="35"/>
  <c r="L21" i="35"/>
  <c r="Z12" i="37"/>
  <c r="V36" i="37"/>
  <c r="V34" i="37"/>
  <c r="V33" i="37"/>
  <c r="V31" i="37"/>
  <c r="V29" i="37"/>
  <c r="V27" i="37"/>
  <c r="V25" i="37"/>
  <c r="V24" i="37"/>
  <c r="V22" i="37"/>
  <c r="V21" i="37"/>
  <c r="T18" i="37"/>
  <c r="V15" i="37"/>
  <c r="V20" i="37"/>
  <c r="V18" i="37"/>
  <c r="V16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0" i="38"/>
  <c r="P18" i="38"/>
  <c r="R15" i="38"/>
  <c r="R21" i="38"/>
  <c r="X12" i="38"/>
  <c r="R18" i="38"/>
  <c r="R16" i="38"/>
  <c r="L21" i="38"/>
  <c r="X24" i="38"/>
  <c r="N29" i="38"/>
  <c r="Z20" i="40"/>
  <c r="X13" i="41"/>
  <c r="L13" i="34"/>
  <c r="N21" i="34"/>
  <c r="L25" i="34"/>
  <c r="L29" i="34"/>
  <c r="L33" i="34"/>
  <c r="L34" i="34"/>
  <c r="N16" i="35"/>
  <c r="N20" i="35"/>
  <c r="L22" i="35"/>
  <c r="L24" i="35"/>
  <c r="L16" i="37"/>
  <c r="L20" i="37"/>
  <c r="V21" i="38"/>
  <c r="V20" i="38"/>
  <c r="V34" i="38"/>
  <c r="V27" i="38"/>
  <c r="V36" i="38"/>
  <c r="V29" i="38"/>
  <c r="V22" i="38"/>
  <c r="Z12" i="38"/>
  <c r="V31" i="38"/>
  <c r="V24" i="38"/>
  <c r="V33" i="38"/>
  <c r="V25" i="38"/>
  <c r="V18" i="38"/>
  <c r="V16" i="38"/>
  <c r="T18" i="38"/>
  <c r="V15" i="38"/>
  <c r="L15" i="38"/>
  <c r="N15" i="41"/>
  <c r="N24" i="43"/>
  <c r="N13" i="34"/>
  <c r="N22" i="34"/>
  <c r="N24" i="34"/>
  <c r="L13" i="35"/>
  <c r="N21" i="35"/>
  <c r="L25" i="35"/>
  <c r="L29" i="35"/>
  <c r="L33" i="35"/>
  <c r="L34" i="35"/>
  <c r="N15" i="37"/>
  <c r="L21" i="37"/>
  <c r="L16" i="38"/>
  <c r="L20" i="38"/>
  <c r="N21" i="38"/>
  <c r="L34" i="38"/>
  <c r="Z15" i="41"/>
  <c r="X15" i="34"/>
  <c r="N25" i="34"/>
  <c r="N29" i="34"/>
  <c r="N33" i="34"/>
  <c r="N34" i="34"/>
  <c r="N13" i="35"/>
  <c r="N22" i="35"/>
  <c r="N24" i="35"/>
  <c r="N16" i="37"/>
  <c r="N20" i="37"/>
  <c r="L22" i="37"/>
  <c r="L24" i="37"/>
  <c r="N15" i="38"/>
  <c r="X22" i="38"/>
  <c r="N34" i="38"/>
  <c r="L22" i="40"/>
  <c r="L13" i="37"/>
  <c r="N21" i="37"/>
  <c r="L25" i="37"/>
  <c r="L29" i="37"/>
  <c r="L33" i="37"/>
  <c r="L34" i="37"/>
  <c r="N16" i="38"/>
  <c r="N20" i="38"/>
  <c r="Z29" i="38"/>
  <c r="Z13" i="40"/>
  <c r="X22" i="40"/>
  <c r="L16" i="46"/>
  <c r="N12" i="34"/>
  <c r="J24" i="34"/>
  <c r="J22" i="34"/>
  <c r="J21" i="34"/>
  <c r="J20" i="34"/>
  <c r="J18" i="34"/>
  <c r="J16" i="34"/>
  <c r="H18" i="34"/>
  <c r="J15" i="34"/>
  <c r="J33" i="34"/>
  <c r="J25" i="34"/>
  <c r="J36" i="34"/>
  <c r="J29" i="34"/>
  <c r="J34" i="34"/>
  <c r="J27" i="34"/>
  <c r="J31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X16" i="35"/>
  <c r="X20" i="35"/>
  <c r="N13" i="37"/>
  <c r="N22" i="37"/>
  <c r="N24" i="37"/>
  <c r="L13" i="38"/>
  <c r="X21" i="38"/>
  <c r="L25" i="38"/>
  <c r="L33" i="38"/>
  <c r="L24" i="40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1" i="35"/>
  <c r="J20" i="35"/>
  <c r="J18" i="35"/>
  <c r="J16" i="35"/>
  <c r="H18" i="35"/>
  <c r="J15" i="35"/>
  <c r="J22" i="35"/>
  <c r="J24" i="35"/>
  <c r="X13" i="35"/>
  <c r="Z15" i="35"/>
  <c r="X21" i="35"/>
  <c r="X15" i="37"/>
  <c r="N25" i="37"/>
  <c r="N29" i="37"/>
  <c r="N33" i="37"/>
  <c r="N34" i="37"/>
  <c r="N13" i="38"/>
  <c r="N25" i="38"/>
  <c r="N33" i="38"/>
  <c r="X24" i="40"/>
  <c r="Z21" i="34"/>
  <c r="X25" i="34"/>
  <c r="X29" i="34"/>
  <c r="X33" i="34"/>
  <c r="X34" i="34"/>
  <c r="Z13" i="35"/>
  <c r="Z16" i="35"/>
  <c r="Z20" i="35"/>
  <c r="X22" i="35"/>
  <c r="X2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X20" i="38"/>
  <c r="L24" i="38"/>
  <c r="Z34" i="38"/>
  <c r="N16" i="40"/>
  <c r="L13" i="4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R15" i="34"/>
  <c r="P18" i="34"/>
  <c r="X12" i="34"/>
  <c r="Z22" i="34"/>
  <c r="Z24" i="34"/>
  <c r="Z21" i="35"/>
  <c r="X25" i="35"/>
  <c r="X29" i="35"/>
  <c r="X33" i="35"/>
  <c r="X34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13" i="37"/>
  <c r="Z15" i="37"/>
  <c r="X21" i="37"/>
  <c r="F36" i="38"/>
  <c r="F34" i="38"/>
  <c r="F33" i="38"/>
  <c r="F31" i="38"/>
  <c r="F29" i="38"/>
  <c r="F27" i="38"/>
  <c r="F25" i="38"/>
  <c r="F24" i="38"/>
  <c r="F20" i="38"/>
  <c r="F18" i="38"/>
  <c r="F16" i="38"/>
  <c r="D18" i="38"/>
  <c r="F15" i="38"/>
  <c r="F21" i="38"/>
  <c r="F22" i="38"/>
  <c r="L12" i="38"/>
  <c r="X16" i="38"/>
  <c r="Z16" i="40"/>
  <c r="R21" i="43"/>
  <c r="R20" i="43"/>
  <c r="R18" i="43"/>
  <c r="R16" i="43"/>
  <c r="R33" i="43"/>
  <c r="R27" i="43"/>
  <c r="R22" i="43"/>
  <c r="P18" i="43"/>
  <c r="R34" i="43"/>
  <c r="R29" i="43"/>
  <c r="R24" i="43"/>
  <c r="R15" i="43"/>
  <c r="X12" i="43"/>
  <c r="R36" i="43"/>
  <c r="R31" i="43"/>
  <c r="R25" i="43"/>
  <c r="N15" i="40"/>
  <c r="L21" i="40"/>
  <c r="L16" i="41"/>
  <c r="L20" i="41"/>
  <c r="Z21" i="43"/>
  <c r="X25" i="43"/>
  <c r="L29" i="43"/>
  <c r="L34" i="43"/>
  <c r="L25" i="44"/>
  <c r="L29" i="44"/>
  <c r="L33" i="44"/>
  <c r="L15" i="49"/>
  <c r="L13" i="40"/>
  <c r="N21" i="40"/>
  <c r="L25" i="40"/>
  <c r="L29" i="40"/>
  <c r="L33" i="40"/>
  <c r="L34" i="40"/>
  <c r="N16" i="41"/>
  <c r="N20" i="41"/>
  <c r="L22" i="41"/>
  <c r="L24" i="41"/>
  <c r="Z12" i="43"/>
  <c r="T18" i="43"/>
  <c r="V15" i="43"/>
  <c r="V33" i="43"/>
  <c r="V27" i="43"/>
  <c r="V22" i="43"/>
  <c r="V18" i="43"/>
  <c r="V34" i="43"/>
  <c r="V29" i="43"/>
  <c r="V24" i="43"/>
  <c r="V20" i="43"/>
  <c r="V36" i="43"/>
  <c r="V31" i="43"/>
  <c r="V25" i="43"/>
  <c r="V16" i="43"/>
  <c r="V21" i="43"/>
  <c r="X15" i="43"/>
  <c r="Z25" i="43"/>
  <c r="N29" i="43"/>
  <c r="N34" i="43"/>
  <c r="N13" i="44"/>
  <c r="Z22" i="44"/>
  <c r="N25" i="44"/>
  <c r="N29" i="44"/>
  <c r="N33" i="44"/>
  <c r="X16" i="46"/>
  <c r="N29" i="47"/>
  <c r="N13" i="40"/>
  <c r="N22" i="40"/>
  <c r="N24" i="40"/>
  <c r="L13" i="41"/>
  <c r="N21" i="41"/>
  <c r="L25" i="41"/>
  <c r="L29" i="41"/>
  <c r="L33" i="41"/>
  <c r="L34" i="41"/>
  <c r="X20" i="43"/>
  <c r="N21" i="44"/>
  <c r="Z29" i="47"/>
  <c r="X15" i="40"/>
  <c r="N25" i="40"/>
  <c r="N29" i="40"/>
  <c r="N33" i="40"/>
  <c r="N34" i="40"/>
  <c r="N13" i="41"/>
  <c r="N22" i="41"/>
  <c r="N24" i="41"/>
  <c r="L13" i="43"/>
  <c r="X29" i="43"/>
  <c r="L33" i="43"/>
  <c r="X34" i="43"/>
  <c r="Z13" i="44"/>
  <c r="N16" i="44"/>
  <c r="L24" i="44"/>
  <c r="Z25" i="44"/>
  <c r="Z29" i="44"/>
  <c r="Z33" i="44"/>
  <c r="X20" i="52"/>
  <c r="N22" i="38"/>
  <c r="N24" i="38"/>
  <c r="D18" i="40"/>
  <c r="F15" i="40"/>
  <c r="F36" i="40"/>
  <c r="F34" i="40"/>
  <c r="F33" i="40"/>
  <c r="F31" i="40"/>
  <c r="F29" i="40"/>
  <c r="F27" i="40"/>
  <c r="F25" i="40"/>
  <c r="F24" i="40"/>
  <c r="F22" i="40"/>
  <c r="F20" i="40"/>
  <c r="F18" i="40"/>
  <c r="F16" i="40"/>
  <c r="L12" i="40"/>
  <c r="F21" i="40"/>
  <c r="X16" i="40"/>
  <c r="X20" i="40"/>
  <c r="X15" i="41"/>
  <c r="N25" i="41"/>
  <c r="N29" i="41"/>
  <c r="N33" i="41"/>
  <c r="N34" i="41"/>
  <c r="N13" i="43"/>
  <c r="N22" i="43"/>
  <c r="Z24" i="43"/>
  <c r="L20" i="46"/>
  <c r="V20" i="47"/>
  <c r="V18" i="47"/>
  <c r="V16" i="47"/>
  <c r="T18" i="47"/>
  <c r="V15" i="47"/>
  <c r="Z12" i="47"/>
  <c r="V36" i="47"/>
  <c r="V34" i="47"/>
  <c r="V33" i="47"/>
  <c r="V31" i="47"/>
  <c r="V29" i="47"/>
  <c r="V27" i="47"/>
  <c r="V25" i="47"/>
  <c r="V21" i="47"/>
  <c r="V24" i="47"/>
  <c r="V22" i="47"/>
  <c r="X20" i="50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J15" i="40"/>
  <c r="H18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D18" i="41"/>
  <c r="F15" i="41"/>
  <c r="F20" i="41"/>
  <c r="F18" i="41"/>
  <c r="F16" i="41"/>
  <c r="X16" i="41"/>
  <c r="X20" i="41"/>
  <c r="Z29" i="43"/>
  <c r="N33" i="43"/>
  <c r="Z34" i="43"/>
  <c r="N24" i="44"/>
  <c r="L34" i="44"/>
  <c r="X20" i="46"/>
  <c r="N33" i="47"/>
  <c r="X21" i="41"/>
  <c r="L16" i="43"/>
  <c r="L15" i="44"/>
  <c r="N20" i="44"/>
  <c r="L15" i="47"/>
  <c r="Z33" i="47"/>
  <c r="Z21" i="40"/>
  <c r="X25" i="40"/>
  <c r="X29" i="40"/>
  <c r="X33" i="40"/>
  <c r="X34" i="40"/>
  <c r="Z13" i="41"/>
  <c r="Z16" i="41"/>
  <c r="Z20" i="41"/>
  <c r="X22" i="41"/>
  <c r="X24" i="41"/>
  <c r="N21" i="43"/>
  <c r="L25" i="43"/>
  <c r="X33" i="43"/>
  <c r="Z16" i="44"/>
  <c r="X24" i="44"/>
  <c r="N34" i="44"/>
  <c r="L12" i="46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F15" i="46"/>
  <c r="D18" i="46"/>
  <c r="X15" i="47"/>
  <c r="N34" i="47"/>
  <c r="N33" i="53"/>
  <c r="X12" i="40"/>
  <c r="R36" i="40"/>
  <c r="R34" i="40"/>
  <c r="R33" i="40"/>
  <c r="R31" i="40"/>
  <c r="R29" i="40"/>
  <c r="R27" i="40"/>
  <c r="R25" i="40"/>
  <c r="R24" i="40"/>
  <c r="R22" i="40"/>
  <c r="R20" i="40"/>
  <c r="R18" i="40"/>
  <c r="R16" i="40"/>
  <c r="P18" i="40"/>
  <c r="R15" i="40"/>
  <c r="R21" i="40"/>
  <c r="Z22" i="40"/>
  <c r="Z24" i="40"/>
  <c r="Z21" i="41"/>
  <c r="X25" i="41"/>
  <c r="X29" i="41"/>
  <c r="X33" i="41"/>
  <c r="X34" i="41"/>
  <c r="Z22" i="43"/>
  <c r="L22" i="44"/>
  <c r="Z24" i="44"/>
  <c r="Z34" i="47"/>
  <c r="Z21" i="38"/>
  <c r="X25" i="38"/>
  <c r="X29" i="38"/>
  <c r="X33" i="38"/>
  <c r="X34" i="38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Z12" i="40"/>
  <c r="V15" i="40"/>
  <c r="T18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1" i="41"/>
  <c r="P18" i="41"/>
  <c r="R15" i="41"/>
  <c r="X12" i="41"/>
  <c r="R20" i="41"/>
  <c r="R18" i="41"/>
  <c r="R16" i="41"/>
  <c r="Z22" i="41"/>
  <c r="Z24" i="41"/>
  <c r="L15" i="43"/>
  <c r="N25" i="43"/>
  <c r="Z33" i="43"/>
  <c r="X12" i="44"/>
  <c r="R36" i="44"/>
  <c r="R34" i="44"/>
  <c r="R33" i="44"/>
  <c r="R31" i="44"/>
  <c r="R29" i="44"/>
  <c r="R27" i="44"/>
  <c r="R25" i="44"/>
  <c r="R24" i="44"/>
  <c r="R22" i="44"/>
  <c r="R20" i="44"/>
  <c r="R18" i="44"/>
  <c r="R16" i="44"/>
  <c r="P18" i="44"/>
  <c r="R15" i="44"/>
  <c r="R21" i="44"/>
  <c r="Z34" i="44"/>
  <c r="N25" i="47"/>
  <c r="Z22" i="38"/>
  <c r="Z24" i="38"/>
  <c r="L16" i="40"/>
  <c r="L20" i="40"/>
  <c r="V24" i="41"/>
  <c r="V22" i="41"/>
  <c r="V21" i="41"/>
  <c r="V20" i="41"/>
  <c r="V18" i="41"/>
  <c r="V16" i="41"/>
  <c r="T18" i="41"/>
  <c r="V15" i="41"/>
  <c r="V36" i="41"/>
  <c r="V34" i="41"/>
  <c r="V33" i="41"/>
  <c r="V31" i="41"/>
  <c r="V29" i="41"/>
  <c r="V27" i="41"/>
  <c r="V25" i="41"/>
  <c r="Z12" i="41"/>
  <c r="L15" i="41"/>
  <c r="Z25" i="41"/>
  <c r="Z29" i="41"/>
  <c r="Z33" i="41"/>
  <c r="Z34" i="41"/>
  <c r="F20" i="43"/>
  <c r="F18" i="43"/>
  <c r="F16" i="43"/>
  <c r="L12" i="43"/>
  <c r="F21" i="43"/>
  <c r="F15" i="43"/>
  <c r="F36" i="43"/>
  <c r="F31" i="43"/>
  <c r="F25" i="43"/>
  <c r="F33" i="43"/>
  <c r="F27" i="43"/>
  <c r="F22" i="43"/>
  <c r="D18" i="43"/>
  <c r="F24" i="43"/>
  <c r="F34" i="43"/>
  <c r="F29" i="43"/>
  <c r="X16" i="43"/>
  <c r="L20" i="43"/>
  <c r="V36" i="44"/>
  <c r="V34" i="44"/>
  <c r="V33" i="44"/>
  <c r="V31" i="44"/>
  <c r="V29" i="44"/>
  <c r="V27" i="44"/>
  <c r="V25" i="44"/>
  <c r="V20" i="44"/>
  <c r="V18" i="44"/>
  <c r="Z12" i="44"/>
  <c r="V24" i="44"/>
  <c r="V16" i="44"/>
  <c r="V21" i="44"/>
  <c r="T18" i="44"/>
  <c r="V22" i="44"/>
  <c r="V15" i="44"/>
  <c r="X15" i="44"/>
  <c r="Z20" i="44"/>
  <c r="N22" i="44"/>
  <c r="Z25" i="47"/>
  <c r="N16" i="43"/>
  <c r="N20" i="43"/>
  <c r="L22" i="43"/>
  <c r="L24" i="43"/>
  <c r="N15" i="44"/>
  <c r="L21" i="44"/>
  <c r="V21" i="46"/>
  <c r="V20" i="46"/>
  <c r="V18" i="46"/>
  <c r="V16" i="46"/>
  <c r="T18" i="46"/>
  <c r="V15" i="46"/>
  <c r="Z12" i="46"/>
  <c r="V24" i="46"/>
  <c r="V22" i="46"/>
  <c r="V33" i="46"/>
  <c r="V31" i="46"/>
  <c r="V29" i="46"/>
  <c r="V27" i="46"/>
  <c r="V36" i="46"/>
  <c r="V25" i="46"/>
  <c r="V34" i="46"/>
  <c r="L15" i="46"/>
  <c r="Z25" i="46"/>
  <c r="Z29" i="46"/>
  <c r="Z33" i="46"/>
  <c r="Z34" i="46"/>
  <c r="R24" i="47"/>
  <c r="R22" i="47"/>
  <c r="R21" i="47"/>
  <c r="R20" i="47"/>
  <c r="R18" i="47"/>
  <c r="R16" i="47"/>
  <c r="P18" i="47"/>
  <c r="R15" i="47"/>
  <c r="X12" i="47"/>
  <c r="R36" i="47"/>
  <c r="R34" i="47"/>
  <c r="R33" i="47"/>
  <c r="R31" i="47"/>
  <c r="R29" i="47"/>
  <c r="R27" i="47"/>
  <c r="R25" i="47"/>
  <c r="Z22" i="47"/>
  <c r="Z24" i="47"/>
  <c r="X13" i="49"/>
  <c r="N25" i="49"/>
  <c r="N33" i="49"/>
  <c r="N13" i="50"/>
  <c r="L20" i="52"/>
  <c r="Z12" i="53"/>
  <c r="V36" i="53"/>
  <c r="V34" i="53"/>
  <c r="V33" i="53"/>
  <c r="V31" i="53"/>
  <c r="V29" i="53"/>
  <c r="V27" i="53"/>
  <c r="V25" i="53"/>
  <c r="V21" i="53"/>
  <c r="V20" i="53"/>
  <c r="V18" i="53"/>
  <c r="V16" i="53"/>
  <c r="T18" i="53"/>
  <c r="V15" i="53"/>
  <c r="V24" i="53"/>
  <c r="V22" i="53"/>
  <c r="N15" i="46"/>
  <c r="L21" i="46"/>
  <c r="L16" i="47"/>
  <c r="L20" i="47"/>
  <c r="Z25" i="49"/>
  <c r="Z33" i="49"/>
  <c r="L15" i="53"/>
  <c r="Z33" i="53"/>
  <c r="N16" i="46"/>
  <c r="N20" i="46"/>
  <c r="L22" i="46"/>
  <c r="L24" i="46"/>
  <c r="N15" i="47"/>
  <c r="L21" i="47"/>
  <c r="X15" i="49"/>
  <c r="N34" i="49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L12" i="52"/>
  <c r="D18" i="52"/>
  <c r="F15" i="52"/>
  <c r="X15" i="53"/>
  <c r="N34" i="53"/>
  <c r="L13" i="46"/>
  <c r="N21" i="46"/>
  <c r="L25" i="46"/>
  <c r="L29" i="46"/>
  <c r="L33" i="46"/>
  <c r="L34" i="46"/>
  <c r="N16" i="47"/>
  <c r="N20" i="47"/>
  <c r="L22" i="47"/>
  <c r="L24" i="47"/>
  <c r="Z15" i="49"/>
  <c r="X21" i="49"/>
  <c r="Z34" i="53"/>
  <c r="H18" i="43"/>
  <c r="J15" i="43"/>
  <c r="J36" i="43"/>
  <c r="J31" i="43"/>
  <c r="J25" i="43"/>
  <c r="J21" i="43"/>
  <c r="J16" i="43"/>
  <c r="J33" i="43"/>
  <c r="J27" i="43"/>
  <c r="J22" i="43"/>
  <c r="J18" i="43"/>
  <c r="J34" i="43"/>
  <c r="J29" i="43"/>
  <c r="J24" i="43"/>
  <c r="J20" i="43"/>
  <c r="N12" i="43"/>
  <c r="X13" i="43"/>
  <c r="Z15" i="43"/>
  <c r="X21" i="43"/>
  <c r="D18" i="44"/>
  <c r="F15" i="44"/>
  <c r="F20" i="44"/>
  <c r="F18" i="44"/>
  <c r="F16" i="44"/>
  <c r="F22" i="44"/>
  <c r="L12" i="44"/>
  <c r="F34" i="44"/>
  <c r="F31" i="44"/>
  <c r="F27" i="44"/>
  <c r="F24" i="44"/>
  <c r="F21" i="44"/>
  <c r="F36" i="44"/>
  <c r="F33" i="44"/>
  <c r="F29" i="44"/>
  <c r="F25" i="44"/>
  <c r="X16" i="44"/>
  <c r="X20" i="44"/>
  <c r="N13" i="46"/>
  <c r="N22" i="46"/>
  <c r="N24" i="46"/>
  <c r="L13" i="47"/>
  <c r="N21" i="47"/>
  <c r="L25" i="47"/>
  <c r="L29" i="47"/>
  <c r="L33" i="47"/>
  <c r="L34" i="47"/>
  <c r="Z34" i="49"/>
  <c r="N25" i="53"/>
  <c r="Z13" i="43"/>
  <c r="Z16" i="43"/>
  <c r="Z20" i="43"/>
  <c r="X22" i="43"/>
  <c r="X24" i="43"/>
  <c r="J36" i="44"/>
  <c r="J34" i="44"/>
  <c r="J33" i="44"/>
  <c r="J31" i="44"/>
  <c r="J29" i="44"/>
  <c r="J27" i="44"/>
  <c r="J25" i="44"/>
  <c r="N12" i="44"/>
  <c r="J20" i="44"/>
  <c r="J15" i="44"/>
  <c r="J24" i="44"/>
  <c r="J16" i="44"/>
  <c r="J21" i="44"/>
  <c r="J22" i="44"/>
  <c r="H18" i="44"/>
  <c r="J18" i="44"/>
  <c r="X13" i="44"/>
  <c r="Z15" i="44"/>
  <c r="X21" i="44"/>
  <c r="X15" i="46"/>
  <c r="N25" i="46"/>
  <c r="N29" i="46"/>
  <c r="N33" i="46"/>
  <c r="N34" i="46"/>
  <c r="N13" i="47"/>
  <c r="N22" i="47"/>
  <c r="N24" i="47"/>
  <c r="N29" i="49"/>
  <c r="N22" i="50"/>
  <c r="Z25" i="53"/>
  <c r="X16" i="50"/>
  <c r="Z21" i="44"/>
  <c r="X25" i="44"/>
  <c r="X29" i="44"/>
  <c r="X33" i="44"/>
  <c r="X34" i="44"/>
  <c r="N12" i="46"/>
  <c r="J24" i="46"/>
  <c r="J22" i="46"/>
  <c r="J21" i="46"/>
  <c r="J20" i="46"/>
  <c r="J18" i="46"/>
  <c r="J16" i="46"/>
  <c r="H18" i="46"/>
  <c r="J15" i="46"/>
  <c r="J33" i="46"/>
  <c r="J31" i="46"/>
  <c r="J29" i="46"/>
  <c r="J27" i="46"/>
  <c r="J36" i="46"/>
  <c r="J25" i="46"/>
  <c r="J34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F20" i="47"/>
  <c r="F18" i="47"/>
  <c r="F16" i="47"/>
  <c r="D18" i="47"/>
  <c r="F15" i="47"/>
  <c r="X16" i="47"/>
  <c r="X20" i="47"/>
  <c r="J20" i="49"/>
  <c r="J18" i="49"/>
  <c r="J16" i="49"/>
  <c r="H18" i="49"/>
  <c r="N12" i="49"/>
  <c r="J36" i="49"/>
  <c r="J34" i="49"/>
  <c r="J33" i="49"/>
  <c r="J31" i="49"/>
  <c r="J29" i="49"/>
  <c r="J27" i="49"/>
  <c r="J25" i="49"/>
  <c r="J21" i="49"/>
  <c r="J24" i="49"/>
  <c r="J22" i="49"/>
  <c r="J15" i="49"/>
  <c r="Z29" i="49"/>
  <c r="Z22" i="50"/>
  <c r="L16" i="52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1" i="47"/>
  <c r="J20" i="47"/>
  <c r="J18" i="47"/>
  <c r="J16" i="47"/>
  <c r="H18" i="47"/>
  <c r="J15" i="47"/>
  <c r="J24" i="47"/>
  <c r="J22" i="47"/>
  <c r="X13" i="47"/>
  <c r="Z15" i="47"/>
  <c r="X21" i="47"/>
  <c r="Z12" i="49"/>
  <c r="V36" i="49"/>
  <c r="V34" i="49"/>
  <c r="V33" i="49"/>
  <c r="V31" i="49"/>
  <c r="V29" i="49"/>
  <c r="V27" i="49"/>
  <c r="V25" i="49"/>
  <c r="V21" i="49"/>
  <c r="V20" i="49"/>
  <c r="V18" i="49"/>
  <c r="V16" i="49"/>
  <c r="T18" i="49"/>
  <c r="V15" i="49"/>
  <c r="V24" i="49"/>
  <c r="V22" i="49"/>
  <c r="N24" i="50"/>
  <c r="X16" i="52"/>
  <c r="N29" i="53"/>
  <c r="Z21" i="46"/>
  <c r="X25" i="46"/>
  <c r="X29" i="46"/>
  <c r="X33" i="46"/>
  <c r="X34" i="46"/>
  <c r="Z13" i="47"/>
  <c r="Z16" i="47"/>
  <c r="Z20" i="47"/>
  <c r="X22" i="47"/>
  <c r="X24" i="47"/>
  <c r="F21" i="50"/>
  <c r="F20" i="50"/>
  <c r="F18" i="50"/>
  <c r="F16" i="50"/>
  <c r="D18" i="50"/>
  <c r="F15" i="50"/>
  <c r="L12" i="50"/>
  <c r="F24" i="50"/>
  <c r="F22" i="50"/>
  <c r="F31" i="50"/>
  <c r="F36" i="50"/>
  <c r="F29" i="50"/>
  <c r="F34" i="50"/>
  <c r="F27" i="50"/>
  <c r="F33" i="50"/>
  <c r="F25" i="50"/>
  <c r="Z29" i="53"/>
  <c r="N15" i="43"/>
  <c r="L21" i="43"/>
  <c r="L16" i="44"/>
  <c r="L20" i="44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X12" i="46"/>
  <c r="P18" i="46"/>
  <c r="R15" i="46"/>
  <c r="Z22" i="46"/>
  <c r="Z24" i="46"/>
  <c r="Z21" i="47"/>
  <c r="X25" i="47"/>
  <c r="X29" i="47"/>
  <c r="X33" i="47"/>
  <c r="X34" i="47"/>
  <c r="X12" i="50"/>
  <c r="R24" i="50"/>
  <c r="R22" i="50"/>
  <c r="R21" i="50"/>
  <c r="R20" i="50"/>
  <c r="R18" i="50"/>
  <c r="R16" i="50"/>
  <c r="R31" i="50"/>
  <c r="P18" i="50"/>
  <c r="R36" i="50"/>
  <c r="R29" i="50"/>
  <c r="R34" i="50"/>
  <c r="R27" i="50"/>
  <c r="R15" i="50"/>
  <c r="R33" i="50"/>
  <c r="R25" i="50"/>
  <c r="Z24" i="50"/>
  <c r="N13" i="49"/>
  <c r="N22" i="49"/>
  <c r="N24" i="49"/>
  <c r="L13" i="50"/>
  <c r="N21" i="50"/>
  <c r="L25" i="50"/>
  <c r="L29" i="50"/>
  <c r="L33" i="50"/>
  <c r="L34" i="50"/>
  <c r="X15" i="52"/>
  <c r="N25" i="52"/>
  <c r="N29" i="52"/>
  <c r="N33" i="52"/>
  <c r="N34" i="52"/>
  <c r="N13" i="53"/>
  <c r="N22" i="53"/>
  <c r="N24" i="53"/>
  <c r="F24" i="49"/>
  <c r="F22" i="49"/>
  <c r="F21" i="49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X16" i="49"/>
  <c r="X20" i="49"/>
  <c r="X15" i="50"/>
  <c r="N25" i="50"/>
  <c r="N29" i="50"/>
  <c r="N33" i="50"/>
  <c r="N34" i="50"/>
  <c r="J21" i="52"/>
  <c r="J20" i="52"/>
  <c r="J18" i="52"/>
  <c r="J16" i="52"/>
  <c r="H18" i="52"/>
  <c r="J15" i="52"/>
  <c r="N12" i="52"/>
  <c r="J24" i="52"/>
  <c r="J22" i="52"/>
  <c r="J27" i="52"/>
  <c r="J36" i="52"/>
  <c r="J25" i="52"/>
  <c r="J34" i="52"/>
  <c r="J33" i="52"/>
  <c r="J31" i="52"/>
  <c r="J29" i="52"/>
  <c r="X13" i="52"/>
  <c r="Z15" i="52"/>
  <c r="X21" i="52"/>
  <c r="F24" i="53"/>
  <c r="F22" i="53"/>
  <c r="F21" i="53"/>
  <c r="F20" i="53"/>
  <c r="F18" i="53"/>
  <c r="F16" i="53"/>
  <c r="D18" i="53"/>
  <c r="F15" i="53"/>
  <c r="L12" i="53"/>
  <c r="F36" i="53"/>
  <c r="F34" i="53"/>
  <c r="F33" i="53"/>
  <c r="F31" i="53"/>
  <c r="F29" i="53"/>
  <c r="F27" i="53"/>
  <c r="F25" i="53"/>
  <c r="X16" i="53"/>
  <c r="X20" i="53"/>
  <c r="Z13" i="52"/>
  <c r="Z16" i="52"/>
  <c r="Z20" i="52"/>
  <c r="X22" i="52"/>
  <c r="X24" i="52"/>
  <c r="J20" i="53"/>
  <c r="J18" i="53"/>
  <c r="J16" i="53"/>
  <c r="H18" i="53"/>
  <c r="J15" i="53"/>
  <c r="N12" i="53"/>
  <c r="J36" i="53"/>
  <c r="J34" i="53"/>
  <c r="J33" i="53"/>
  <c r="J31" i="53"/>
  <c r="J29" i="53"/>
  <c r="J27" i="53"/>
  <c r="J25" i="53"/>
  <c r="J21" i="53"/>
  <c r="J24" i="53"/>
  <c r="J22" i="53"/>
  <c r="X13" i="53"/>
  <c r="Z15" i="53"/>
  <c r="X21" i="53"/>
  <c r="Z13" i="49"/>
  <c r="Z16" i="49"/>
  <c r="Z20" i="49"/>
  <c r="X22" i="49"/>
  <c r="X24" i="49"/>
  <c r="H18" i="50"/>
  <c r="J15" i="50"/>
  <c r="N12" i="50"/>
  <c r="J24" i="50"/>
  <c r="J22" i="50"/>
  <c r="J20" i="50"/>
  <c r="J18" i="50"/>
  <c r="J16" i="50"/>
  <c r="J31" i="50"/>
  <c r="J36" i="50"/>
  <c r="J29" i="50"/>
  <c r="J34" i="50"/>
  <c r="J27" i="50"/>
  <c r="J21" i="50"/>
  <c r="J33" i="50"/>
  <c r="J25" i="50"/>
  <c r="X13" i="50"/>
  <c r="Z15" i="50"/>
  <c r="X21" i="50"/>
  <c r="Z21" i="52"/>
  <c r="X25" i="52"/>
  <c r="X29" i="52"/>
  <c r="X33" i="52"/>
  <c r="X34" i="52"/>
  <c r="Z13" i="53"/>
  <c r="Z16" i="53"/>
  <c r="Z20" i="53"/>
  <c r="X22" i="53"/>
  <c r="X24" i="53"/>
  <c r="Z21" i="49"/>
  <c r="X25" i="49"/>
  <c r="X29" i="49"/>
  <c r="X33" i="49"/>
  <c r="X34" i="49"/>
  <c r="Z13" i="50"/>
  <c r="Z16" i="50"/>
  <c r="Z20" i="50"/>
  <c r="X22" i="50"/>
  <c r="X24" i="50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X12" i="52"/>
  <c r="Z22" i="52"/>
  <c r="Z24" i="52"/>
  <c r="Z21" i="53"/>
  <c r="X25" i="53"/>
  <c r="X29" i="53"/>
  <c r="X33" i="53"/>
  <c r="X34" i="53"/>
  <c r="X12" i="49"/>
  <c r="R36" i="49"/>
  <c r="R34" i="49"/>
  <c r="R33" i="49"/>
  <c r="R31" i="49"/>
  <c r="R29" i="49"/>
  <c r="R27" i="49"/>
  <c r="R25" i="49"/>
  <c r="R24" i="49"/>
  <c r="R22" i="49"/>
  <c r="R21" i="49"/>
  <c r="P18" i="49"/>
  <c r="R15" i="49"/>
  <c r="R18" i="49"/>
  <c r="R16" i="49"/>
  <c r="R20" i="49"/>
  <c r="Z22" i="49"/>
  <c r="Z24" i="49"/>
  <c r="Z21" i="50"/>
  <c r="X25" i="50"/>
  <c r="X29" i="50"/>
  <c r="X33" i="50"/>
  <c r="X34" i="50"/>
  <c r="Z12" i="52"/>
  <c r="V24" i="52"/>
  <c r="V22" i="52"/>
  <c r="V21" i="52"/>
  <c r="V20" i="52"/>
  <c r="V18" i="52"/>
  <c r="V16" i="52"/>
  <c r="T18" i="52"/>
  <c r="V15" i="52"/>
  <c r="V36" i="52"/>
  <c r="V25" i="52"/>
  <c r="V34" i="52"/>
  <c r="V33" i="52"/>
  <c r="V31" i="52"/>
  <c r="V29" i="52"/>
  <c r="V27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Z22" i="53"/>
  <c r="Z24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0" i="50"/>
  <c r="V18" i="50"/>
  <c r="V16" i="50"/>
  <c r="T18" i="50"/>
  <c r="V15" i="50"/>
  <c r="V21" i="50"/>
  <c r="L15" i="50"/>
  <c r="Z25" i="50"/>
  <c r="Z29" i="50"/>
  <c r="Z33" i="50"/>
  <c r="Z34" i="50"/>
  <c r="N15" i="52"/>
  <c r="L21" i="52"/>
  <c r="L16" i="53"/>
  <c r="L20" i="53"/>
  <c r="N15" i="49"/>
  <c r="L21" i="49"/>
  <c r="L16" i="50"/>
  <c r="L20" i="50"/>
  <c r="N16" i="52"/>
  <c r="N20" i="52"/>
  <c r="L22" i="52"/>
  <c r="L24" i="52"/>
  <c r="N15" i="53"/>
  <c r="L21" i="53"/>
  <c r="N16" i="49"/>
  <c r="N20" i="49"/>
  <c r="L22" i="49"/>
  <c r="L24" i="49"/>
  <c r="N15" i="50"/>
  <c r="L21" i="50"/>
  <c r="L13" i="52"/>
  <c r="N21" i="52"/>
  <c r="L25" i="52"/>
  <c r="L29" i="52"/>
  <c r="L33" i="52"/>
  <c r="L34" i="52"/>
  <c r="N16" i="53"/>
  <c r="N20" i="53"/>
  <c r="L22" i="53"/>
  <c r="L24" i="53"/>
  <c r="L13" i="49"/>
  <c r="N21" i="49"/>
  <c r="L25" i="49"/>
  <c r="L29" i="49"/>
  <c r="L33" i="49"/>
  <c r="L34" i="49"/>
  <c r="N16" i="50"/>
  <c r="N20" i="50"/>
  <c r="L22" i="50"/>
  <c r="L24" i="50"/>
  <c r="N13" i="52"/>
  <c r="N22" i="52"/>
  <c r="N24" i="52"/>
  <c r="L13" i="53"/>
  <c r="N21" i="53"/>
  <c r="L25" i="53"/>
  <c r="L29" i="53"/>
  <c r="L33" i="53"/>
  <c r="L34" i="53"/>
  <c r="L20" i="100"/>
  <c r="L34" i="99"/>
  <c r="N29" i="98"/>
  <c r="X13" i="98"/>
  <c r="X20" i="99"/>
  <c r="N16" i="98"/>
  <c r="L33" i="98"/>
  <c r="L13" i="100"/>
  <c r="N22" i="99"/>
  <c r="N13" i="100"/>
  <c r="X34" i="98"/>
  <c r="N16" i="100"/>
  <c r="N21" i="98"/>
  <c r="X22" i="98"/>
  <c r="N15" i="99"/>
  <c r="X16" i="99"/>
  <c r="L22" i="99"/>
  <c r="L16" i="100"/>
  <c r="N34" i="100"/>
  <c r="Z13" i="98"/>
  <c r="N24" i="98"/>
  <c r="X25" i="98"/>
  <c r="N33" i="98"/>
  <c r="D18" i="99"/>
  <c r="F15" i="99"/>
  <c r="L12" i="99"/>
  <c r="F27" i="99"/>
  <c r="F36" i="99"/>
  <c r="F20" i="99"/>
  <c r="F33" i="99"/>
  <c r="F24" i="99"/>
  <c r="F16" i="99"/>
  <c r="F29" i="99"/>
  <c r="F21" i="99"/>
  <c r="F25" i="99"/>
  <c r="F34" i="99"/>
  <c r="F22" i="99"/>
  <c r="F18" i="99"/>
  <c r="F31" i="99"/>
  <c r="L25" i="99"/>
  <c r="N20" i="100"/>
  <c r="L22" i="100"/>
  <c r="X21" i="98"/>
  <c r="N12" i="99"/>
  <c r="J20" i="99"/>
  <c r="J33" i="99"/>
  <c r="J24" i="99"/>
  <c r="J16" i="99"/>
  <c r="J29" i="99"/>
  <c r="J21" i="99"/>
  <c r="J25" i="99"/>
  <c r="J34" i="99"/>
  <c r="J18" i="99"/>
  <c r="J31" i="99"/>
  <c r="J22" i="99"/>
  <c r="H18" i="99"/>
  <c r="J36" i="99"/>
  <c r="J15" i="99"/>
  <c r="J27" i="99"/>
  <c r="X15" i="99"/>
  <c r="L21" i="99"/>
  <c r="N34" i="99"/>
  <c r="L15" i="100"/>
  <c r="L25" i="100"/>
  <c r="L29" i="100"/>
  <c r="L33" i="100"/>
  <c r="F21" i="98"/>
  <c r="F20" i="98"/>
  <c r="F18" i="98"/>
  <c r="F16" i="98"/>
  <c r="D18" i="98"/>
  <c r="F15" i="98"/>
  <c r="F25" i="98"/>
  <c r="F34" i="98"/>
  <c r="F31" i="98"/>
  <c r="F22" i="98"/>
  <c r="L12" i="98"/>
  <c r="F27" i="98"/>
  <c r="F36" i="98"/>
  <c r="F29" i="98"/>
  <c r="F33" i="98"/>
  <c r="F24" i="98"/>
  <c r="X16" i="98"/>
  <c r="X29" i="98"/>
  <c r="N25" i="99"/>
  <c r="L29" i="99"/>
  <c r="N22" i="100"/>
  <c r="J34" i="98"/>
  <c r="J18" i="98"/>
  <c r="J31" i="98"/>
  <c r="J22" i="98"/>
  <c r="H18" i="98"/>
  <c r="N12" i="98"/>
  <c r="J27" i="98"/>
  <c r="J36" i="98"/>
  <c r="J20" i="98"/>
  <c r="J15" i="98"/>
  <c r="J33" i="98"/>
  <c r="J24" i="98"/>
  <c r="J25" i="98"/>
  <c r="J16" i="98"/>
  <c r="J29" i="98"/>
  <c r="J21" i="98"/>
  <c r="Z21" i="98"/>
  <c r="Z15" i="99"/>
  <c r="N21" i="99"/>
  <c r="N15" i="100"/>
  <c r="N25" i="100"/>
  <c r="N29" i="100"/>
  <c r="N33" i="100"/>
  <c r="Z16" i="98"/>
  <c r="X24" i="98"/>
  <c r="X33" i="98"/>
  <c r="L13" i="99"/>
  <c r="L24" i="99"/>
  <c r="N29" i="99"/>
  <c r="L33" i="99"/>
  <c r="X15" i="98"/>
  <c r="X20" i="98"/>
  <c r="N22" i="98"/>
  <c r="L34" i="98"/>
  <c r="N13" i="99"/>
  <c r="N16" i="99"/>
  <c r="L21" i="100"/>
  <c r="L25" i="98"/>
  <c r="N24" i="99"/>
  <c r="N33" i="99"/>
  <c r="V24" i="100"/>
  <c r="V22" i="100"/>
  <c r="V21" i="100"/>
  <c r="V20" i="100"/>
  <c r="V18" i="100"/>
  <c r="V16" i="100"/>
  <c r="T18" i="100"/>
  <c r="V15" i="100"/>
  <c r="Z12" i="100"/>
  <c r="V36" i="100"/>
  <c r="V33" i="100"/>
  <c r="V29" i="100"/>
  <c r="V25" i="100"/>
  <c r="V34" i="100"/>
  <c r="V31" i="100"/>
  <c r="V27" i="100"/>
  <c r="L24" i="100"/>
  <c r="L13" i="98"/>
  <c r="Z15" i="98"/>
  <c r="Z20" i="98"/>
  <c r="N34" i="98"/>
  <c r="N20" i="99"/>
  <c r="X21" i="99"/>
  <c r="X15" i="100"/>
  <c r="N21" i="100"/>
  <c r="L34" i="100"/>
  <c r="N13" i="98"/>
  <c r="N25" i="98"/>
  <c r="L29" i="98"/>
  <c r="X13" i="99"/>
  <c r="N24" i="100"/>
  <c r="X12" i="98"/>
  <c r="R36" i="98"/>
  <c r="R34" i="98"/>
  <c r="R33" i="98"/>
  <c r="R31" i="98"/>
  <c r="R29" i="98"/>
  <c r="R27" i="98"/>
  <c r="R25" i="98"/>
  <c r="R20" i="98"/>
  <c r="R15" i="98"/>
  <c r="R24" i="98"/>
  <c r="R16" i="98"/>
  <c r="R21" i="98"/>
  <c r="R18" i="98"/>
  <c r="P18" i="98"/>
  <c r="R22" i="98"/>
  <c r="Z22" i="98"/>
  <c r="Z24" i="98"/>
  <c r="Z13" i="99"/>
  <c r="Z16" i="99"/>
  <c r="Z20" i="99"/>
  <c r="X22" i="99"/>
  <c r="X24" i="99"/>
  <c r="L12" i="100"/>
  <c r="F34" i="100"/>
  <c r="F31" i="100"/>
  <c r="F27" i="100"/>
  <c r="F24" i="100"/>
  <c r="F21" i="100"/>
  <c r="F18" i="100"/>
  <c r="D18" i="100"/>
  <c r="F36" i="100"/>
  <c r="F33" i="100"/>
  <c r="F29" i="100"/>
  <c r="F25" i="100"/>
  <c r="F15" i="100"/>
  <c r="F22" i="100"/>
  <c r="F16" i="100"/>
  <c r="F20" i="100"/>
  <c r="X16" i="100"/>
  <c r="X20" i="100"/>
  <c r="Z12" i="98"/>
  <c r="V36" i="98"/>
  <c r="V34" i="98"/>
  <c r="V33" i="98"/>
  <c r="V31" i="98"/>
  <c r="V29" i="98"/>
  <c r="V27" i="98"/>
  <c r="V25" i="98"/>
  <c r="V24" i="98"/>
  <c r="V22" i="98"/>
  <c r="V21" i="98"/>
  <c r="V20" i="98"/>
  <c r="V15" i="98"/>
  <c r="V16" i="98"/>
  <c r="V18" i="98"/>
  <c r="T18" i="98"/>
  <c r="L15" i="98"/>
  <c r="Z25" i="98"/>
  <c r="Z29" i="98"/>
  <c r="Z33" i="98"/>
  <c r="Z34" i="98"/>
  <c r="Z21" i="99"/>
  <c r="X25" i="99"/>
  <c r="X29" i="99"/>
  <c r="X33" i="99"/>
  <c r="X34" i="99"/>
  <c r="N12" i="100"/>
  <c r="J36" i="100"/>
  <c r="J34" i="100"/>
  <c r="J33" i="100"/>
  <c r="J31" i="100"/>
  <c r="J29" i="100"/>
  <c r="J27" i="100"/>
  <c r="J25" i="100"/>
  <c r="J21" i="100"/>
  <c r="J18" i="100"/>
  <c r="H18" i="100"/>
  <c r="J15" i="100"/>
  <c r="J22" i="100"/>
  <c r="J20" i="100"/>
  <c r="J16" i="100"/>
  <c r="J24" i="100"/>
  <c r="X13" i="100"/>
  <c r="Z15" i="100"/>
  <c r="X21" i="100"/>
  <c r="L16" i="98"/>
  <c r="L20" i="98"/>
  <c r="X12" i="99"/>
  <c r="R36" i="99"/>
  <c r="R34" i="99"/>
  <c r="R33" i="99"/>
  <c r="R31" i="99"/>
  <c r="R29" i="99"/>
  <c r="R27" i="99"/>
  <c r="R25" i="99"/>
  <c r="R24" i="99"/>
  <c r="R22" i="99"/>
  <c r="R21" i="99"/>
  <c r="R18" i="99"/>
  <c r="P18" i="99"/>
  <c r="R15" i="99"/>
  <c r="R20" i="99"/>
  <c r="R16" i="99"/>
  <c r="Z22" i="99"/>
  <c r="Z24" i="99"/>
  <c r="Z13" i="100"/>
  <c r="Z16" i="100"/>
  <c r="Z20" i="100"/>
  <c r="X22" i="100"/>
  <c r="X24" i="100"/>
  <c r="N15" i="98"/>
  <c r="L21" i="98"/>
  <c r="V36" i="99"/>
  <c r="V34" i="99"/>
  <c r="V33" i="99"/>
  <c r="V31" i="99"/>
  <c r="V29" i="99"/>
  <c r="V27" i="99"/>
  <c r="V25" i="99"/>
  <c r="V24" i="99"/>
  <c r="V22" i="99"/>
  <c r="V21" i="99"/>
  <c r="V20" i="99"/>
  <c r="V18" i="99"/>
  <c r="V16" i="99"/>
  <c r="T18" i="99"/>
  <c r="V15" i="99"/>
  <c r="Z12" i="99"/>
  <c r="L15" i="99"/>
  <c r="Z25" i="99"/>
  <c r="Z29" i="99"/>
  <c r="Z33" i="99"/>
  <c r="Z34" i="99"/>
  <c r="Z21" i="100"/>
  <c r="X25" i="100"/>
  <c r="X29" i="100"/>
  <c r="X33" i="100"/>
  <c r="X34" i="100"/>
  <c r="N20" i="98"/>
  <c r="L22" i="98"/>
  <c r="L24" i="98"/>
  <c r="L16" i="99"/>
  <c r="L20" i="99"/>
  <c r="R36" i="100"/>
  <c r="R34" i="100"/>
  <c r="R33" i="100"/>
  <c r="R31" i="100"/>
  <c r="R29" i="100"/>
  <c r="R27" i="100"/>
  <c r="R25" i="100"/>
  <c r="R24" i="100"/>
  <c r="R22" i="100"/>
  <c r="R21" i="100"/>
  <c r="R20" i="100"/>
  <c r="R18" i="100"/>
  <c r="R16" i="100"/>
  <c r="P18" i="100"/>
  <c r="R15" i="100"/>
  <c r="X12" i="100"/>
  <c r="Z22" i="100"/>
  <c r="Z24" i="100"/>
  <c r="Z25" i="100"/>
  <c r="Z29" i="100"/>
  <c r="Z33" i="100"/>
  <c r="Z34" i="100"/>
  <c r="R271" i="3"/>
  <c r="R260" i="3"/>
  <c r="R259" i="3"/>
  <c r="R247" i="3"/>
  <c r="R243" i="3"/>
  <c r="R280" i="3"/>
  <c r="R279" i="3"/>
  <c r="R264" i="3"/>
  <c r="R263" i="3"/>
  <c r="R268" i="3"/>
  <c r="R252" i="3"/>
  <c r="R249" i="3"/>
  <c r="R244" i="3"/>
  <c r="R236" i="3"/>
  <c r="R235" i="3"/>
  <c r="R231" i="3"/>
  <c r="R220" i="3"/>
  <c r="R219" i="3"/>
  <c r="R187" i="3"/>
  <c r="R151" i="3"/>
  <c r="R147" i="3"/>
  <c r="R143" i="3"/>
  <c r="R139" i="3"/>
  <c r="R135" i="3"/>
  <c r="R131" i="3"/>
  <c r="R127" i="3"/>
  <c r="R123" i="3"/>
  <c r="R119" i="3"/>
  <c r="R115" i="3"/>
  <c r="R111" i="3"/>
  <c r="R107" i="3"/>
  <c r="R103" i="3"/>
  <c r="R129" i="3"/>
  <c r="R267" i="3"/>
  <c r="R201" i="3"/>
  <c r="R226" i="3"/>
  <c r="R211" i="3"/>
  <c r="R210" i="3"/>
  <c r="R203" i="3"/>
  <c r="R202" i="3"/>
  <c r="R194" i="3"/>
  <c r="R179" i="3"/>
  <c r="R178" i="3"/>
  <c r="R174" i="3"/>
  <c r="R170" i="3"/>
  <c r="R148" i="3"/>
  <c r="R229" i="3"/>
  <c r="R169" i="3"/>
  <c r="R275" i="3"/>
  <c r="R256" i="3"/>
  <c r="R237" i="3"/>
  <c r="R221" i="3"/>
  <c r="R165" i="3"/>
  <c r="R161" i="3"/>
  <c r="R102" i="3"/>
  <c r="R265" i="3"/>
  <c r="R261" i="3"/>
  <c r="R258" i="3"/>
  <c r="R232" i="3"/>
  <c r="R212" i="3"/>
  <c r="R204" i="3"/>
  <c r="R188" i="3"/>
  <c r="R181" i="3"/>
  <c r="R180" i="3"/>
  <c r="R157" i="3"/>
  <c r="R152" i="3"/>
  <c r="R144" i="3"/>
  <c r="R140" i="3"/>
  <c r="R136" i="3"/>
  <c r="R132" i="3"/>
  <c r="R128" i="3"/>
  <c r="R124" i="3"/>
  <c r="R120" i="3"/>
  <c r="R116" i="3"/>
  <c r="R112" i="3"/>
  <c r="R108" i="3"/>
  <c r="R104" i="3"/>
  <c r="R109" i="3"/>
  <c r="R218" i="3"/>
  <c r="R185" i="3"/>
  <c r="R253" i="3"/>
  <c r="R242" i="3"/>
  <c r="R227" i="3"/>
  <c r="R196" i="3"/>
  <c r="R195" i="3"/>
  <c r="R175" i="3"/>
  <c r="R171" i="3"/>
  <c r="R156" i="3"/>
  <c r="R149" i="3"/>
  <c r="R137" i="3"/>
  <c r="R113" i="3"/>
  <c r="R173" i="3"/>
  <c r="R254" i="3"/>
  <c r="R239" i="3"/>
  <c r="R238" i="3"/>
  <c r="R222" i="3"/>
  <c r="R182" i="3"/>
  <c r="R166" i="3"/>
  <c r="R162" i="3"/>
  <c r="R158" i="3"/>
  <c r="P154" i="3"/>
  <c r="R145" i="3"/>
  <c r="R141" i="3"/>
  <c r="R133" i="3"/>
  <c r="R125" i="3"/>
  <c r="R117" i="3"/>
  <c r="R105" i="3"/>
  <c r="R255" i="3"/>
  <c r="R230" i="3"/>
  <c r="R217" i="3"/>
  <c r="R186" i="3"/>
  <c r="R177" i="3"/>
  <c r="R250" i="3"/>
  <c r="R245" i="3"/>
  <c r="R233" i="3"/>
  <c r="R214" i="3"/>
  <c r="R213" i="3"/>
  <c r="R205" i="3"/>
  <c r="R198" i="3"/>
  <c r="R197" i="3"/>
  <c r="R190" i="3"/>
  <c r="R189" i="3"/>
  <c r="R269" i="3"/>
  <c r="R266" i="3"/>
  <c r="R248" i="3"/>
  <c r="R240" i="3"/>
  <c r="R228" i="3"/>
  <c r="R176" i="3"/>
  <c r="R172" i="3"/>
  <c r="R257" i="3"/>
  <c r="R251" i="3"/>
  <c r="R223" i="3"/>
  <c r="R216" i="3"/>
  <c r="R215" i="3"/>
  <c r="R200" i="3"/>
  <c r="R199" i="3"/>
  <c r="R191" i="3"/>
  <c r="R184" i="3"/>
  <c r="R183" i="3"/>
  <c r="R168" i="3"/>
  <c r="R167" i="3"/>
  <c r="R163" i="3"/>
  <c r="R159" i="3"/>
  <c r="R234" i="3"/>
  <c r="R207" i="3"/>
  <c r="R206" i="3"/>
  <c r="R150" i="3"/>
  <c r="R146" i="3"/>
  <c r="R142" i="3"/>
  <c r="R138" i="3"/>
  <c r="R134" i="3"/>
  <c r="R130" i="3"/>
  <c r="R126" i="3"/>
  <c r="R122" i="3"/>
  <c r="R118" i="3"/>
  <c r="R114" i="3"/>
  <c r="R110" i="3"/>
  <c r="R106" i="3"/>
  <c r="R270" i="3"/>
  <c r="R246" i="3"/>
  <c r="R241" i="3"/>
  <c r="R225" i="3"/>
  <c r="R224" i="3"/>
  <c r="R209" i="3"/>
  <c r="R208" i="3"/>
  <c r="R193" i="3"/>
  <c r="R192" i="3"/>
  <c r="R164" i="3"/>
  <c r="R160" i="3"/>
  <c r="X12" i="3"/>
  <c r="Z12" i="3" s="1"/>
  <c r="R121" i="3"/>
  <c r="Z168" i="3"/>
  <c r="N280" i="3"/>
  <c r="Z196" i="3"/>
  <c r="Z225" i="3"/>
  <c r="N239" i="3"/>
  <c r="N102" i="3"/>
  <c r="Z184" i="3"/>
  <c r="Z156" i="3"/>
  <c r="P26" i="6"/>
  <c r="N279" i="3"/>
  <c r="N186" i="3"/>
  <c r="N203" i="3"/>
  <c r="Z279" i="3"/>
  <c r="Z200" i="3"/>
  <c r="V103" i="3"/>
  <c r="V107" i="3"/>
  <c r="V111" i="3"/>
  <c r="V115" i="3"/>
  <c r="V119" i="3"/>
  <c r="V123" i="3"/>
  <c r="V127" i="3"/>
  <c r="V131" i="3"/>
  <c r="V135" i="3"/>
  <c r="V139" i="3"/>
  <c r="V143" i="3"/>
  <c r="V147" i="3"/>
  <c r="V151" i="3"/>
  <c r="J159" i="3"/>
  <c r="J163" i="3"/>
  <c r="J167" i="3"/>
  <c r="V179" i="3"/>
  <c r="J183" i="3"/>
  <c r="V187" i="3"/>
  <c r="J191" i="3"/>
  <c r="J199" i="3"/>
  <c r="V203" i="3"/>
  <c r="V211" i="3"/>
  <c r="J215" i="3"/>
  <c r="V219" i="3"/>
  <c r="J223" i="3"/>
  <c r="V231" i="3"/>
  <c r="V235" i="3"/>
  <c r="V244" i="3"/>
  <c r="V249" i="3"/>
  <c r="V264" i="3"/>
  <c r="X279" i="3"/>
  <c r="H16" i="6"/>
  <c r="J24" i="6"/>
  <c r="J31" i="6"/>
  <c r="J29" i="6"/>
  <c r="J28" i="6"/>
  <c r="J26" i="6"/>
  <c r="V14" i="6"/>
  <c r="J22" i="6"/>
  <c r="F49" i="9"/>
  <c r="F58" i="9"/>
  <c r="L72" i="9"/>
  <c r="N80" i="9"/>
  <c r="L80" i="9"/>
  <c r="Z94" i="9"/>
  <c r="F103" i="9"/>
  <c r="N154" i="12"/>
  <c r="N162" i="12"/>
  <c r="H154" i="3"/>
  <c r="J154" i="3" s="1"/>
  <c r="V169" i="3"/>
  <c r="V173" i="3"/>
  <c r="V177" i="3"/>
  <c r="V185" i="3"/>
  <c r="J189" i="3"/>
  <c r="V193" i="3"/>
  <c r="J197" i="3"/>
  <c r="V201" i="3"/>
  <c r="J205" i="3"/>
  <c r="V209" i="3"/>
  <c r="J213" i="3"/>
  <c r="V217" i="3"/>
  <c r="V225" i="3"/>
  <c r="V229" i="3"/>
  <c r="J233" i="3"/>
  <c r="J239" i="3"/>
  <c r="J254" i="3"/>
  <c r="X260" i="3"/>
  <c r="Z260" i="3" s="1"/>
  <c r="V267" i="3"/>
  <c r="V18" i="6"/>
  <c r="V26" i="6"/>
  <c r="F38" i="9"/>
  <c r="N62" i="9"/>
  <c r="F66" i="9"/>
  <c r="F78" i="9"/>
  <c r="F89" i="9"/>
  <c r="D12" i="12"/>
  <c r="L222" i="15"/>
  <c r="D221" i="15"/>
  <c r="L221" i="15" s="1"/>
  <c r="V102" i="3"/>
  <c r="V106" i="3"/>
  <c r="V110" i="3"/>
  <c r="V114" i="3"/>
  <c r="V118" i="3"/>
  <c r="V122" i="3"/>
  <c r="V126" i="3"/>
  <c r="V130" i="3"/>
  <c r="V134" i="3"/>
  <c r="V138" i="3"/>
  <c r="V142" i="3"/>
  <c r="V146" i="3"/>
  <c r="V150" i="3"/>
  <c r="J156" i="3"/>
  <c r="J158" i="3"/>
  <c r="J162" i="3"/>
  <c r="J166" i="3"/>
  <c r="J182" i="3"/>
  <c r="V186" i="3"/>
  <c r="J196" i="3"/>
  <c r="V206" i="3"/>
  <c r="V218" i="3"/>
  <c r="J222" i="3"/>
  <c r="V230" i="3"/>
  <c r="V234" i="3"/>
  <c r="J238" i="3"/>
  <c r="J245" i="3"/>
  <c r="V259" i="3"/>
  <c r="P263" i="3"/>
  <c r="X263" i="3" s="1"/>
  <c r="Z263" i="3" s="1"/>
  <c r="X12" i="6"/>
  <c r="Z45" i="9"/>
  <c r="Z72" i="9"/>
  <c r="Z81" i="12"/>
  <c r="J157" i="3"/>
  <c r="V159" i="3"/>
  <c r="V163" i="3"/>
  <c r="V167" i="3"/>
  <c r="J171" i="3"/>
  <c r="J175" i="3"/>
  <c r="J181" i="3"/>
  <c r="V183" i="3"/>
  <c r="V191" i="3"/>
  <c r="J195" i="3"/>
  <c r="V199" i="3"/>
  <c r="V207" i="3"/>
  <c r="V215" i="3"/>
  <c r="V223" i="3"/>
  <c r="J227" i="3"/>
  <c r="V243" i="3"/>
  <c r="J253" i="3"/>
  <c r="L256" i="3"/>
  <c r="N256" i="3" s="1"/>
  <c r="V257" i="3"/>
  <c r="Z12" i="6"/>
  <c r="T16" i="6"/>
  <c r="X16" i="6"/>
  <c r="V22" i="6"/>
  <c r="N29" i="6"/>
  <c r="X62" i="9"/>
  <c r="T235" i="12"/>
  <c r="N180" i="12"/>
  <c r="L180" i="12"/>
  <c r="N206" i="12"/>
  <c r="V176" i="3"/>
  <c r="V184" i="3"/>
  <c r="V200" i="3"/>
  <c r="V216" i="3"/>
  <c r="V228" i="3"/>
  <c r="J232" i="3"/>
  <c r="V240" i="3"/>
  <c r="V248" i="3"/>
  <c r="J265" i="3"/>
  <c r="V266" i="3"/>
  <c r="J271" i="3"/>
  <c r="Z62" i="9"/>
  <c r="Z64" i="9"/>
  <c r="N161" i="15"/>
  <c r="D12" i="3"/>
  <c r="V105" i="3"/>
  <c r="V109" i="3"/>
  <c r="V113" i="3"/>
  <c r="V117" i="3"/>
  <c r="V121" i="3"/>
  <c r="V125" i="3"/>
  <c r="V129" i="3"/>
  <c r="V133" i="3"/>
  <c r="V137" i="3"/>
  <c r="V141" i="3"/>
  <c r="V145" i="3"/>
  <c r="V149" i="3"/>
  <c r="J161" i="3"/>
  <c r="J165" i="3"/>
  <c r="J179" i="3"/>
  <c r="V189" i="3"/>
  <c r="V197" i="3"/>
  <c r="J203" i="3"/>
  <c r="V205" i="3"/>
  <c r="J211" i="3"/>
  <c r="V213" i="3"/>
  <c r="J221" i="3"/>
  <c r="V233" i="3"/>
  <c r="J237" i="3"/>
  <c r="V245" i="3"/>
  <c r="J247" i="3"/>
  <c r="V250" i="3"/>
  <c r="J256" i="3"/>
  <c r="J261" i="3"/>
  <c r="L280" i="3"/>
  <c r="V16" i="6"/>
  <c r="F44" i="9"/>
  <c r="F43" i="9"/>
  <c r="F19" i="9"/>
  <c r="F17" i="9"/>
  <c r="F15" i="9"/>
  <c r="F95" i="9"/>
  <c r="F94" i="9"/>
  <c r="F87" i="9"/>
  <c r="F75" i="9"/>
  <c r="F63" i="9"/>
  <c r="F62" i="9"/>
  <c r="F39" i="9"/>
  <c r="F35" i="9"/>
  <c r="D17" i="9"/>
  <c r="F110" i="9"/>
  <c r="F107" i="9"/>
  <c r="F82" i="9"/>
  <c r="F70" i="9"/>
  <c r="F54" i="9"/>
  <c r="F46" i="9"/>
  <c r="F45" i="9"/>
  <c r="F30" i="9"/>
  <c r="F26" i="9"/>
  <c r="F22" i="9"/>
  <c r="L12" i="9"/>
  <c r="F65" i="9"/>
  <c r="F64" i="9"/>
  <c r="F96" i="9"/>
  <c r="F88" i="9"/>
  <c r="F84" i="9"/>
  <c r="F83" i="9"/>
  <c r="F76" i="9"/>
  <c r="F56" i="9"/>
  <c r="F55" i="9"/>
  <c r="F48" i="9"/>
  <c r="F47" i="9"/>
  <c r="F40" i="9"/>
  <c r="F36" i="9"/>
  <c r="F71" i="9"/>
  <c r="F31" i="9"/>
  <c r="F27" i="9"/>
  <c r="F23" i="9"/>
  <c r="F100" i="9"/>
  <c r="F98" i="9"/>
  <c r="F85" i="9"/>
  <c r="F73" i="9"/>
  <c r="F72" i="9"/>
  <c r="F41" i="9"/>
  <c r="F37" i="9"/>
  <c r="F33" i="9"/>
  <c r="F32" i="9"/>
  <c r="F101" i="9"/>
  <c r="F68" i="9"/>
  <c r="F67" i="9"/>
  <c r="F60" i="9"/>
  <c r="F59" i="9"/>
  <c r="F91" i="9"/>
  <c r="F79" i="9"/>
  <c r="F51" i="9"/>
  <c r="F105" i="9"/>
  <c r="F93" i="9"/>
  <c r="F92" i="9"/>
  <c r="F81" i="9"/>
  <c r="F80" i="9"/>
  <c r="F69" i="9"/>
  <c r="F61" i="9"/>
  <c r="F53" i="9"/>
  <c r="F52" i="9"/>
  <c r="F29" i="9"/>
  <c r="F25" i="9"/>
  <c r="F21" i="9"/>
  <c r="F20" i="9"/>
  <c r="N59" i="9"/>
  <c r="F99" i="9"/>
  <c r="N187" i="12"/>
  <c r="Z216" i="12"/>
  <c r="Z228" i="12"/>
  <c r="N72" i="9"/>
  <c r="J267" i="3"/>
  <c r="J269" i="3"/>
  <c r="J258" i="3"/>
  <c r="J250" i="3"/>
  <c r="J246" i="3"/>
  <c r="J242" i="3"/>
  <c r="J270" i="3"/>
  <c r="J251" i="3"/>
  <c r="J259" i="3"/>
  <c r="J280" i="3"/>
  <c r="J279" i="3"/>
  <c r="J264" i="3"/>
  <c r="J263" i="3"/>
  <c r="J255" i="3"/>
  <c r="X13" i="3"/>
  <c r="Z13" i="3" s="1"/>
  <c r="V158" i="3"/>
  <c r="V162" i="3"/>
  <c r="V166" i="3"/>
  <c r="J170" i="3"/>
  <c r="J174" i="3"/>
  <c r="J178" i="3"/>
  <c r="V182" i="3"/>
  <c r="V190" i="3"/>
  <c r="J194" i="3"/>
  <c r="V198" i="3"/>
  <c r="J202" i="3"/>
  <c r="J210" i="3"/>
  <c r="V214" i="3"/>
  <c r="J220" i="3"/>
  <c r="V222" i="3"/>
  <c r="J226" i="3"/>
  <c r="J236" i="3"/>
  <c r="V238" i="3"/>
  <c r="Z254" i="3"/>
  <c r="D263" i="3"/>
  <c r="L263" i="3" s="1"/>
  <c r="N263" i="3" s="1"/>
  <c r="J275" i="3"/>
  <c r="N32" i="9"/>
  <c r="Z176" i="12"/>
  <c r="Z206" i="12"/>
  <c r="T154" i="3"/>
  <c r="V171" i="3"/>
  <c r="V175" i="3"/>
  <c r="J187" i="3"/>
  <c r="J193" i="3"/>
  <c r="V195" i="3"/>
  <c r="J209" i="3"/>
  <c r="J219" i="3"/>
  <c r="J225" i="3"/>
  <c r="V227" i="3"/>
  <c r="J231" i="3"/>
  <c r="J235" i="3"/>
  <c r="V239" i="3"/>
  <c r="V242" i="3"/>
  <c r="J244" i="3"/>
  <c r="V271" i="3"/>
  <c r="Z126" i="12"/>
  <c r="X126" i="12"/>
  <c r="L172" i="12"/>
  <c r="N172" i="12" s="1"/>
  <c r="J102" i="3"/>
  <c r="V104" i="3"/>
  <c r="V108" i="3"/>
  <c r="V112" i="3"/>
  <c r="V116" i="3"/>
  <c r="V120" i="3"/>
  <c r="V124" i="3"/>
  <c r="V128" i="3"/>
  <c r="V132" i="3"/>
  <c r="V136" i="3"/>
  <c r="V140" i="3"/>
  <c r="V144" i="3"/>
  <c r="V148" i="3"/>
  <c r="V152" i="3"/>
  <c r="V154" i="3"/>
  <c r="V156" i="3"/>
  <c r="J160" i="3"/>
  <c r="J164" i="3"/>
  <c r="V180" i="3"/>
  <c r="J186" i="3"/>
  <c r="V188" i="3"/>
  <c r="J192" i="3"/>
  <c r="V196" i="3"/>
  <c r="V204" i="3"/>
  <c r="J208" i="3"/>
  <c r="V212" i="3"/>
  <c r="J218" i="3"/>
  <c r="J224" i="3"/>
  <c r="J230" i="3"/>
  <c r="V232" i="3"/>
  <c r="J241" i="3"/>
  <c r="V247" i="3"/>
  <c r="J249" i="3"/>
  <c r="J252" i="3"/>
  <c r="V258" i="3"/>
  <c r="V268" i="3"/>
  <c r="V29" i="6"/>
  <c r="F50" i="9"/>
  <c r="F86" i="9"/>
  <c r="L92" i="9"/>
  <c r="N92" i="9" s="1"/>
  <c r="D12" i="15"/>
  <c r="V157" i="3"/>
  <c r="V161" i="3"/>
  <c r="V165" i="3"/>
  <c r="J169" i="3"/>
  <c r="J173" i="3"/>
  <c r="J177" i="3"/>
  <c r="V181" i="3"/>
  <c r="J185" i="3"/>
  <c r="J201" i="3"/>
  <c r="J207" i="3"/>
  <c r="J217" i="3"/>
  <c r="V221" i="3"/>
  <c r="J229" i="3"/>
  <c r="L230" i="3"/>
  <c r="N230" i="3" s="1"/>
  <c r="Z256" i="3"/>
  <c r="J260" i="3"/>
  <c r="L279" i="3"/>
  <c r="V20" i="6"/>
  <c r="L52" i="9"/>
  <c r="N52" i="9" s="1"/>
  <c r="P12" i="12"/>
  <c r="X15" i="12"/>
  <c r="N138" i="12"/>
  <c r="X145" i="15"/>
  <c r="Z145" i="15" s="1"/>
  <c r="V260" i="3"/>
  <c r="V252" i="3"/>
  <c r="V254" i="3"/>
  <c r="V280" i="3"/>
  <c r="V279" i="3"/>
  <c r="V275" i="3"/>
  <c r="V263" i="3"/>
  <c r="V261" i="3"/>
  <c r="V253" i="3"/>
  <c r="V265" i="3"/>
  <c r="V255" i="3"/>
  <c r="V269" i="3"/>
  <c r="V251" i="3"/>
  <c r="J106" i="3"/>
  <c r="J110" i="3"/>
  <c r="J114" i="3"/>
  <c r="J118" i="3"/>
  <c r="J122" i="3"/>
  <c r="J126" i="3"/>
  <c r="J130" i="3"/>
  <c r="J134" i="3"/>
  <c r="J138" i="3"/>
  <c r="J142" i="3"/>
  <c r="J146" i="3"/>
  <c r="J150" i="3"/>
  <c r="J168" i="3"/>
  <c r="V170" i="3"/>
  <c r="V174" i="3"/>
  <c r="V178" i="3"/>
  <c r="J184" i="3"/>
  <c r="V194" i="3"/>
  <c r="J200" i="3"/>
  <c r="V202" i="3"/>
  <c r="J206" i="3"/>
  <c r="V210" i="3"/>
  <c r="J216" i="3"/>
  <c r="V226" i="3"/>
  <c r="J234" i="3"/>
  <c r="V256" i="3"/>
  <c r="D22" i="6"/>
  <c r="V28" i="6"/>
  <c r="N20" i="9"/>
  <c r="F74" i="9"/>
  <c r="F90" i="9"/>
  <c r="N156" i="12"/>
  <c r="L156" i="12"/>
  <c r="P12" i="15"/>
  <c r="X19" i="15"/>
  <c r="T228" i="15"/>
  <c r="R24" i="6"/>
  <c r="H17" i="9"/>
  <c r="V32" i="9"/>
  <c r="V36" i="9"/>
  <c r="V40" i="9"/>
  <c r="J44" i="9"/>
  <c r="V48" i="9"/>
  <c r="V56" i="9"/>
  <c r="J62" i="9"/>
  <c r="R65" i="9"/>
  <c r="V72" i="9"/>
  <c r="V76" i="9"/>
  <c r="V84" i="9"/>
  <c r="V88" i="9"/>
  <c r="J94" i="9"/>
  <c r="V96" i="9"/>
  <c r="V98" i="9"/>
  <c r="V128" i="12"/>
  <c r="V132" i="12"/>
  <c r="V136" i="12"/>
  <c r="J140" i="12"/>
  <c r="J144" i="12"/>
  <c r="J148" i="12"/>
  <c r="V152" i="12"/>
  <c r="V160" i="12"/>
  <c r="J164" i="12"/>
  <c r="V168" i="12"/>
  <c r="V176" i="12"/>
  <c r="V184" i="12"/>
  <c r="V192" i="12"/>
  <c r="V196" i="12"/>
  <c r="J200" i="12"/>
  <c r="J206" i="12"/>
  <c r="V208" i="12"/>
  <c r="V212" i="12"/>
  <c r="V224" i="12"/>
  <c r="J233" i="12"/>
  <c r="V223" i="15"/>
  <c r="V213" i="15"/>
  <c r="V197" i="15"/>
  <c r="V185" i="15"/>
  <c r="V181" i="15"/>
  <c r="V224" i="15"/>
  <c r="V192" i="15"/>
  <c r="V180" i="15"/>
  <c r="V172" i="15"/>
  <c r="V164" i="15"/>
  <c r="V156" i="15"/>
  <c r="V148" i="15"/>
  <c r="V132" i="15"/>
  <c r="V128" i="15"/>
  <c r="V124" i="15"/>
  <c r="V225" i="15"/>
  <c r="V215" i="15"/>
  <c r="V207" i="15"/>
  <c r="V203" i="15"/>
  <c r="V199" i="15"/>
  <c r="V187" i="15"/>
  <c r="V171" i="15"/>
  <c r="V228" i="15"/>
  <c r="V226" i="15"/>
  <c r="V198" i="15"/>
  <c r="V182" i="15"/>
  <c r="V209" i="15"/>
  <c r="V193" i="15"/>
  <c r="V173" i="15"/>
  <c r="V157" i="15"/>
  <c r="V149" i="15"/>
  <c r="V133" i="15"/>
  <c r="V129" i="15"/>
  <c r="V125" i="15"/>
  <c r="V216" i="15"/>
  <c r="V208" i="15"/>
  <c r="V204" i="15"/>
  <c r="V200" i="15"/>
  <c r="V188" i="15"/>
  <c r="V168" i="15"/>
  <c r="V152" i="15"/>
  <c r="V230" i="15"/>
  <c r="V218" i="15"/>
  <c r="V210" i="15"/>
  <c r="V194" i="15"/>
  <c r="V130" i="15"/>
  <c r="V126" i="15"/>
  <c r="V217" i="15"/>
  <c r="V205" i="15"/>
  <c r="V201" i="15"/>
  <c r="V189" i="15"/>
  <c r="V177" i="15"/>
  <c r="V169" i="15"/>
  <c r="V161" i="15"/>
  <c r="V153" i="15"/>
  <c r="V145" i="15"/>
  <c r="V212" i="15"/>
  <c r="V196" i="15"/>
  <c r="V184" i="15"/>
  <c r="V176" i="15"/>
  <c r="V222" i="15"/>
  <c r="V214" i="15"/>
  <c r="V206" i="15"/>
  <c r="V202" i="15"/>
  <c r="V190" i="15"/>
  <c r="V186" i="15"/>
  <c r="V178" i="15"/>
  <c r="V170" i="15"/>
  <c r="V162" i="15"/>
  <c r="V154" i="15"/>
  <c r="V146" i="15"/>
  <c r="V122" i="15"/>
  <c r="V120" i="15"/>
  <c r="V118" i="15"/>
  <c r="V114" i="15"/>
  <c r="V110" i="15"/>
  <c r="V106" i="15"/>
  <c r="V102" i="15"/>
  <c r="V98" i="15"/>
  <c r="V94" i="15"/>
  <c r="V90" i="15"/>
  <c r="V86" i="15"/>
  <c r="V82" i="15"/>
  <c r="V80" i="15"/>
  <c r="J96" i="15"/>
  <c r="V104" i="15"/>
  <c r="J122" i="15"/>
  <c r="J131" i="15"/>
  <c r="N147" i="15"/>
  <c r="L158" i="15"/>
  <c r="N158" i="15" s="1"/>
  <c r="J167" i="15"/>
  <c r="V175" i="15"/>
  <c r="N186" i="15"/>
  <c r="V195" i="15"/>
  <c r="J203" i="15"/>
  <c r="J20" i="9"/>
  <c r="J34" i="9"/>
  <c r="R35" i="9"/>
  <c r="J38" i="9"/>
  <c r="R39" i="9"/>
  <c r="J42" i="9"/>
  <c r="J52" i="9"/>
  <c r="R63" i="9"/>
  <c r="R64" i="9"/>
  <c r="J74" i="9"/>
  <c r="R75" i="9"/>
  <c r="J80" i="9"/>
  <c r="J86" i="9"/>
  <c r="R87" i="9"/>
  <c r="J92" i="9"/>
  <c r="R95" i="9"/>
  <c r="V90" i="12"/>
  <c r="V94" i="12"/>
  <c r="V98" i="12"/>
  <c r="V102" i="12"/>
  <c r="V106" i="12"/>
  <c r="V110" i="12"/>
  <c r="V114" i="12"/>
  <c r="V118" i="12"/>
  <c r="V122" i="12"/>
  <c r="V124" i="12"/>
  <c r="V126" i="12"/>
  <c r="J130" i="12"/>
  <c r="J134" i="12"/>
  <c r="V150" i="12"/>
  <c r="J156" i="12"/>
  <c r="V158" i="12"/>
  <c r="V166" i="12"/>
  <c r="J172" i="12"/>
  <c r="V174" i="12"/>
  <c r="J180" i="12"/>
  <c r="V182" i="12"/>
  <c r="V190" i="12"/>
  <c r="J194" i="12"/>
  <c r="J210" i="12"/>
  <c r="J214" i="12"/>
  <c r="J222" i="12"/>
  <c r="J231" i="12"/>
  <c r="J92" i="15"/>
  <c r="J116" i="15"/>
  <c r="H120" i="15"/>
  <c r="J128" i="15"/>
  <c r="J133" i="15"/>
  <c r="V138" i="15"/>
  <c r="V140" i="15"/>
  <c r="J153" i="15"/>
  <c r="J158" i="15"/>
  <c r="J165" i="15"/>
  <c r="V167" i="15"/>
  <c r="J79" i="9"/>
  <c r="J91" i="9"/>
  <c r="J103" i="9"/>
  <c r="R107" i="9"/>
  <c r="R110" i="9"/>
  <c r="V183" i="12"/>
  <c r="V195" i="12"/>
  <c r="J199" i="12"/>
  <c r="V207" i="12"/>
  <c r="V211" i="12"/>
  <c r="V215" i="12"/>
  <c r="J221" i="12"/>
  <c r="V223" i="12"/>
  <c r="J230" i="12"/>
  <c r="V79" i="15"/>
  <c r="J85" i="15"/>
  <c r="J95" i="15"/>
  <c r="J102" i="15"/>
  <c r="J109" i="15"/>
  <c r="J120" i="15"/>
  <c r="V123" i="15"/>
  <c r="J125" i="15"/>
  <c r="V131" i="15"/>
  <c r="V134" i="15"/>
  <c r="V142" i="15"/>
  <c r="V151" i="15"/>
  <c r="J162" i="15"/>
  <c r="Z212" i="15"/>
  <c r="P17" i="9"/>
  <c r="R21" i="9"/>
  <c r="J24" i="9"/>
  <c r="R25" i="9"/>
  <c r="J28" i="9"/>
  <c r="R29" i="9"/>
  <c r="V44" i="9"/>
  <c r="R53" i="9"/>
  <c r="J60" i="9"/>
  <c r="R61" i="9"/>
  <c r="R62" i="9"/>
  <c r="V64" i="9"/>
  <c r="J68" i="9"/>
  <c r="R69" i="9"/>
  <c r="R81" i="9"/>
  <c r="R93" i="9"/>
  <c r="R94" i="9"/>
  <c r="J101" i="9"/>
  <c r="R105" i="9"/>
  <c r="L14" i="12"/>
  <c r="J84" i="12"/>
  <c r="J88" i="12"/>
  <c r="J92" i="12"/>
  <c r="J96" i="12"/>
  <c r="J100" i="12"/>
  <c r="J104" i="12"/>
  <c r="J108" i="12"/>
  <c r="J112" i="12"/>
  <c r="J116" i="12"/>
  <c r="J120" i="12"/>
  <c r="J138" i="12"/>
  <c r="V140" i="12"/>
  <c r="V144" i="12"/>
  <c r="V148" i="12"/>
  <c r="J154" i="12"/>
  <c r="J162" i="12"/>
  <c r="V164" i="12"/>
  <c r="J178" i="12"/>
  <c r="J188" i="12"/>
  <c r="V200" i="12"/>
  <c r="J204" i="12"/>
  <c r="V216" i="12"/>
  <c r="J220" i="12"/>
  <c r="J228" i="12"/>
  <c r="J229" i="12"/>
  <c r="J88" i="15"/>
  <c r="J112" i="15"/>
  <c r="V144" i="15"/>
  <c r="J146" i="15"/>
  <c r="V160" i="15"/>
  <c r="V163" i="15"/>
  <c r="L174" i="15"/>
  <c r="J215" i="15"/>
  <c r="F207" i="18"/>
  <c r="F199" i="18"/>
  <c r="F198" i="18"/>
  <c r="F191" i="18"/>
  <c r="F183" i="18"/>
  <c r="F182" i="18"/>
  <c r="F175" i="18"/>
  <c r="F174" i="18"/>
  <c r="F167" i="18"/>
  <c r="F163" i="18"/>
  <c r="F159" i="18"/>
  <c r="F158" i="18"/>
  <c r="F234" i="18"/>
  <c r="F233" i="18"/>
  <c r="F218" i="18"/>
  <c r="F208" i="18"/>
  <c r="F200" i="18"/>
  <c r="F184" i="18"/>
  <c r="F168" i="18"/>
  <c r="F164" i="18"/>
  <c r="F160" i="18"/>
  <c r="F230" i="18"/>
  <c r="F226" i="18"/>
  <c r="F214" i="18"/>
  <c r="F202" i="18"/>
  <c r="F201" i="18"/>
  <c r="F194" i="18"/>
  <c r="F186" i="18"/>
  <c r="F185" i="18"/>
  <c r="F178" i="18"/>
  <c r="F170" i="18"/>
  <c r="F169" i="18"/>
  <c r="F246" i="18"/>
  <c r="F237" i="18"/>
  <c r="F236" i="18"/>
  <c r="F221" i="18"/>
  <c r="F220" i="18"/>
  <c r="F209" i="18"/>
  <c r="F165" i="18"/>
  <c r="F161" i="18"/>
  <c r="F248" i="18"/>
  <c r="F249" i="18"/>
  <c r="F222" i="18"/>
  <c r="F206" i="18"/>
  <c r="F205" i="18"/>
  <c r="F190" i="18"/>
  <c r="F189" i="18"/>
  <c r="F166" i="18"/>
  <c r="F162" i="18"/>
  <c r="F250" i="18"/>
  <c r="F238" i="18"/>
  <c r="F217" i="18"/>
  <c r="F204" i="18"/>
  <c r="F147" i="18"/>
  <c r="F245" i="18"/>
  <c r="F219" i="18"/>
  <c r="F212" i="18"/>
  <c r="F156" i="18"/>
  <c r="F231" i="18"/>
  <c r="F196" i="18"/>
  <c r="F154" i="18"/>
  <c r="F152" i="18"/>
  <c r="F150" i="18"/>
  <c r="F148" i="18"/>
  <c r="F141" i="18"/>
  <c r="F137" i="18"/>
  <c r="F133" i="18"/>
  <c r="F129" i="18"/>
  <c r="F125" i="18"/>
  <c r="F121" i="18"/>
  <c r="F117" i="18"/>
  <c r="F113" i="18"/>
  <c r="F109" i="18"/>
  <c r="F105" i="18"/>
  <c r="F101" i="18"/>
  <c r="F97" i="18"/>
  <c r="F242" i="18"/>
  <c r="F239" i="18"/>
  <c r="F229" i="18"/>
  <c r="F224" i="18"/>
  <c r="F215" i="18"/>
  <c r="F173" i="18"/>
  <c r="F251" i="18"/>
  <c r="F213" i="18"/>
  <c r="F210" i="18"/>
  <c r="F197" i="18"/>
  <c r="F181" i="18"/>
  <c r="F171" i="18"/>
  <c r="F142" i="18"/>
  <c r="F138" i="18"/>
  <c r="F134" i="18"/>
  <c r="F130" i="18"/>
  <c r="F126" i="18"/>
  <c r="F122" i="18"/>
  <c r="F118" i="18"/>
  <c r="F114" i="18"/>
  <c r="F110" i="18"/>
  <c r="F106" i="18"/>
  <c r="F102" i="18"/>
  <c r="F98" i="18"/>
  <c r="F255" i="18"/>
  <c r="F243" i="18"/>
  <c r="F227" i="18"/>
  <c r="F176" i="18"/>
  <c r="F240" i="18"/>
  <c r="F232" i="18"/>
  <c r="F225" i="18"/>
  <c r="F216" i="18"/>
  <c r="F187" i="18"/>
  <c r="F179" i="18"/>
  <c r="F157" i="18"/>
  <c r="F155" i="18"/>
  <c r="F211" i="18"/>
  <c r="F203" i="18"/>
  <c r="F192" i="18"/>
  <c r="F153" i="18"/>
  <c r="F151" i="18"/>
  <c r="F149" i="18"/>
  <c r="F139" i="18"/>
  <c r="F135" i="18"/>
  <c r="F131" i="18"/>
  <c r="F127" i="18"/>
  <c r="F123" i="18"/>
  <c r="F119" i="18"/>
  <c r="F115" i="18"/>
  <c r="F111" i="18"/>
  <c r="F107" i="18"/>
  <c r="F103" i="18"/>
  <c r="F99" i="18"/>
  <c r="F95" i="18"/>
  <c r="F94" i="18"/>
  <c r="F247" i="18"/>
  <c r="F235" i="18"/>
  <c r="F177" i="18"/>
  <c r="F172" i="18"/>
  <c r="F241" i="18"/>
  <c r="F228" i="18"/>
  <c r="F223" i="18"/>
  <c r="F193" i="18"/>
  <c r="F188" i="18"/>
  <c r="F180" i="18"/>
  <c r="F146" i="18"/>
  <c r="F140" i="18"/>
  <c r="F136" i="18"/>
  <c r="F132" i="18"/>
  <c r="F128" i="18"/>
  <c r="F124" i="18"/>
  <c r="F120" i="18"/>
  <c r="F116" i="18"/>
  <c r="F112" i="18"/>
  <c r="F108" i="18"/>
  <c r="F104" i="18"/>
  <c r="F100" i="18"/>
  <c r="F96" i="18"/>
  <c r="L12" i="18"/>
  <c r="N12" i="18" s="1"/>
  <c r="V205" i="12"/>
  <c r="V233" i="12"/>
  <c r="V235" i="12"/>
  <c r="J135" i="15"/>
  <c r="J139" i="15"/>
  <c r="J170" i="15"/>
  <c r="N174" i="15"/>
  <c r="J187" i="15"/>
  <c r="T17" i="9"/>
  <c r="R20" i="9"/>
  <c r="J32" i="9"/>
  <c r="V34" i="9"/>
  <c r="V38" i="9"/>
  <c r="V42" i="9"/>
  <c r="J50" i="9"/>
  <c r="R51" i="9"/>
  <c r="R52" i="9"/>
  <c r="J58" i="9"/>
  <c r="V62" i="9"/>
  <c r="J66" i="9"/>
  <c r="J72" i="9"/>
  <c r="V74" i="9"/>
  <c r="J78" i="9"/>
  <c r="R79" i="9"/>
  <c r="R80" i="9"/>
  <c r="V86" i="9"/>
  <c r="J90" i="9"/>
  <c r="R91" i="9"/>
  <c r="R92" i="9"/>
  <c r="V94" i="9"/>
  <c r="J98" i="9"/>
  <c r="J99" i="9"/>
  <c r="V130" i="12"/>
  <c r="V134" i="12"/>
  <c r="J142" i="12"/>
  <c r="J146" i="12"/>
  <c r="X149" i="12"/>
  <c r="Z149" i="12" s="1"/>
  <c r="X165" i="12"/>
  <c r="Z165" i="12" s="1"/>
  <c r="J170" i="12"/>
  <c r="J176" i="12"/>
  <c r="J186" i="12"/>
  <c r="J192" i="12"/>
  <c r="V194" i="12"/>
  <c r="J198" i="12"/>
  <c r="J202" i="12"/>
  <c r="V206" i="12"/>
  <c r="V210" i="12"/>
  <c r="V214" i="12"/>
  <c r="J218" i="12"/>
  <c r="V222" i="12"/>
  <c r="J226" i="12"/>
  <c r="V232" i="12"/>
  <c r="J84" i="15"/>
  <c r="J108" i="15"/>
  <c r="J118" i="15"/>
  <c r="J127" i="15"/>
  <c r="J143" i="15"/>
  <c r="V191" i="15"/>
  <c r="Z196" i="15"/>
  <c r="V219" i="15"/>
  <c r="X14" i="18"/>
  <c r="P12" i="18"/>
  <c r="V15" i="9"/>
  <c r="V17" i="9"/>
  <c r="V19" i="9"/>
  <c r="J23" i="9"/>
  <c r="R24" i="9"/>
  <c r="J27" i="9"/>
  <c r="R28" i="9"/>
  <c r="J31" i="9"/>
  <c r="V43" i="9"/>
  <c r="J49" i="9"/>
  <c r="V51" i="9"/>
  <c r="J57" i="9"/>
  <c r="R60" i="9"/>
  <c r="R68" i="9"/>
  <c r="J71" i="9"/>
  <c r="J77" i="9"/>
  <c r="V79" i="9"/>
  <c r="J89" i="9"/>
  <c r="V91" i="9"/>
  <c r="R103" i="9"/>
  <c r="J83" i="12"/>
  <c r="J87" i="12"/>
  <c r="J91" i="12"/>
  <c r="J95" i="12"/>
  <c r="J99" i="12"/>
  <c r="J103" i="12"/>
  <c r="J107" i="12"/>
  <c r="J111" i="12"/>
  <c r="J115" i="12"/>
  <c r="J119" i="12"/>
  <c r="H124" i="12"/>
  <c r="V139" i="12"/>
  <c r="V143" i="12"/>
  <c r="V147" i="12"/>
  <c r="V155" i="12"/>
  <c r="V163" i="12"/>
  <c r="J169" i="12"/>
  <c r="V171" i="12"/>
  <c r="J175" i="12"/>
  <c r="V179" i="12"/>
  <c r="J185" i="12"/>
  <c r="J191" i="12"/>
  <c r="J197" i="12"/>
  <c r="V199" i="12"/>
  <c r="J225" i="12"/>
  <c r="V231" i="12"/>
  <c r="V85" i="15"/>
  <c r="J87" i="15"/>
  <c r="J94" i="15"/>
  <c r="V95" i="15"/>
  <c r="J101" i="15"/>
  <c r="V109" i="15"/>
  <c r="J111" i="15"/>
  <c r="V137" i="15"/>
  <c r="N150" i="15"/>
  <c r="J159" i="15"/>
  <c r="L161" i="15"/>
  <c r="R33" i="9"/>
  <c r="J36" i="9"/>
  <c r="R37" i="9"/>
  <c r="J40" i="9"/>
  <c r="R41" i="9"/>
  <c r="J48" i="9"/>
  <c r="J56" i="9"/>
  <c r="R73" i="9"/>
  <c r="J76" i="9"/>
  <c r="J84" i="9"/>
  <c r="R85" i="9"/>
  <c r="J88" i="9"/>
  <c r="J96" i="9"/>
  <c r="R101" i="9"/>
  <c r="V96" i="12"/>
  <c r="V100" i="12"/>
  <c r="V104" i="12"/>
  <c r="V108" i="12"/>
  <c r="V112" i="12"/>
  <c r="V116" i="12"/>
  <c r="V120" i="12"/>
  <c r="J124" i="12"/>
  <c r="J126" i="12"/>
  <c r="J128" i="12"/>
  <c r="J132" i="12"/>
  <c r="J136" i="12"/>
  <c r="J152" i="12"/>
  <c r="V156" i="12"/>
  <c r="J160" i="12"/>
  <c r="J168" i="12"/>
  <c r="V172" i="12"/>
  <c r="V180" i="12"/>
  <c r="J184" i="12"/>
  <c r="V188" i="12"/>
  <c r="J196" i="12"/>
  <c r="V204" i="12"/>
  <c r="J208" i="12"/>
  <c r="J212" i="12"/>
  <c r="V220" i="12"/>
  <c r="J224" i="12"/>
  <c r="V230" i="12"/>
  <c r="J217" i="15"/>
  <c r="J205" i="15"/>
  <c r="J201" i="15"/>
  <c r="J189" i="15"/>
  <c r="J169" i="15"/>
  <c r="J218" i="15"/>
  <c r="J184" i="15"/>
  <c r="J176" i="15"/>
  <c r="J160" i="15"/>
  <c r="J144" i="15"/>
  <c r="J140" i="15"/>
  <c r="J136" i="15"/>
  <c r="J219" i="15"/>
  <c r="J211" i="15"/>
  <c r="J195" i="15"/>
  <c r="J177" i="15"/>
  <c r="J161" i="15"/>
  <c r="J145" i="15"/>
  <c r="J212" i="15"/>
  <c r="J206" i="15"/>
  <c r="J202" i="15"/>
  <c r="J196" i="15"/>
  <c r="J190" i="15"/>
  <c r="J178" i="15"/>
  <c r="J222" i="15"/>
  <c r="J221" i="15"/>
  <c r="J213" i="15"/>
  <c r="J197" i="15"/>
  <c r="J191" i="15"/>
  <c r="J185" i="15"/>
  <c r="J179" i="15"/>
  <c r="J163" i="15"/>
  <c r="J155" i="15"/>
  <c r="J147" i="15"/>
  <c r="J141" i="15"/>
  <c r="J137" i="15"/>
  <c r="J123" i="15"/>
  <c r="J223" i="15"/>
  <c r="J214" i="15"/>
  <c r="J192" i="15"/>
  <c r="J186" i="15"/>
  <c r="J180" i="15"/>
  <c r="J164" i="15"/>
  <c r="J156" i="15"/>
  <c r="J148" i="15"/>
  <c r="J225" i="15"/>
  <c r="J198" i="15"/>
  <c r="J182" i="15"/>
  <c r="J172" i="15"/>
  <c r="J166" i="15"/>
  <c r="J142" i="15"/>
  <c r="J138" i="15"/>
  <c r="J226" i="15"/>
  <c r="J199" i="15"/>
  <c r="J193" i="15"/>
  <c r="J173" i="15"/>
  <c r="J157" i="15"/>
  <c r="J149" i="15"/>
  <c r="J216" i="15"/>
  <c r="J208" i="15"/>
  <c r="J204" i="15"/>
  <c r="J200" i="15"/>
  <c r="J188" i="15"/>
  <c r="J174" i="15"/>
  <c r="J230" i="15"/>
  <c r="J210" i="15"/>
  <c r="J194" i="15"/>
  <c r="J168" i="15"/>
  <c r="J152" i="15"/>
  <c r="J130" i="15"/>
  <c r="J126" i="15"/>
  <c r="J80" i="15"/>
  <c r="J104" i="15"/>
  <c r="J124" i="15"/>
  <c r="J132" i="15"/>
  <c r="V135" i="15"/>
  <c r="V139" i="15"/>
  <c r="J150" i="15"/>
  <c r="V174" i="15"/>
  <c r="J183" i="15"/>
  <c r="J209" i="15"/>
  <c r="V211" i="15"/>
  <c r="D144" i="18"/>
  <c r="F14" i="6"/>
  <c r="F16" i="6"/>
  <c r="F18" i="6"/>
  <c r="F20" i="6"/>
  <c r="V33" i="9"/>
  <c r="V37" i="9"/>
  <c r="V41" i="9"/>
  <c r="J47" i="9"/>
  <c r="R50" i="9"/>
  <c r="J55" i="9"/>
  <c r="R58" i="9"/>
  <c r="R59" i="9"/>
  <c r="J65" i="9"/>
  <c r="R66" i="9"/>
  <c r="R67" i="9"/>
  <c r="V73" i="9"/>
  <c r="R78" i="9"/>
  <c r="J83" i="9"/>
  <c r="V85" i="9"/>
  <c r="R90" i="9"/>
  <c r="P98" i="9"/>
  <c r="X98" i="9" s="1"/>
  <c r="R100" i="9"/>
  <c r="V101" i="9"/>
  <c r="V103" i="9"/>
  <c r="J127" i="12"/>
  <c r="V129" i="12"/>
  <c r="V133" i="12"/>
  <c r="V137" i="12"/>
  <c r="J141" i="12"/>
  <c r="J145" i="12"/>
  <c r="J151" i="12"/>
  <c r="V153" i="12"/>
  <c r="J159" i="12"/>
  <c r="V161" i="12"/>
  <c r="J167" i="12"/>
  <c r="V177" i="12"/>
  <c r="J183" i="12"/>
  <c r="V193" i="12"/>
  <c r="J201" i="12"/>
  <c r="V209" i="12"/>
  <c r="V213" i="12"/>
  <c r="J217" i="12"/>
  <c r="V221" i="12"/>
  <c r="V229" i="12"/>
  <c r="J237" i="12"/>
  <c r="J83" i="15"/>
  <c r="J90" i="15"/>
  <c r="J97" i="15"/>
  <c r="J107" i="15"/>
  <c r="J114" i="15"/>
  <c r="L122" i="15"/>
  <c r="N122" i="15" s="1"/>
  <c r="V127" i="15"/>
  <c r="J129" i="15"/>
  <c r="N134" i="15"/>
  <c r="V141" i="15"/>
  <c r="V143" i="15"/>
  <c r="J154" i="15"/>
  <c r="V166" i="15"/>
  <c r="N221" i="15"/>
  <c r="L185" i="18"/>
  <c r="N185" i="18" s="1"/>
  <c r="F195" i="18"/>
  <c r="N12" i="9"/>
  <c r="J22" i="9"/>
  <c r="R23" i="9"/>
  <c r="J26" i="9"/>
  <c r="R27" i="9"/>
  <c r="J30" i="9"/>
  <c r="R31" i="9"/>
  <c r="R32" i="9"/>
  <c r="J46" i="9"/>
  <c r="L47" i="9"/>
  <c r="N47" i="9" s="1"/>
  <c r="J54" i="9"/>
  <c r="L55" i="9"/>
  <c r="N55" i="9" s="1"/>
  <c r="V58" i="9"/>
  <c r="J64" i="9"/>
  <c r="V66" i="9"/>
  <c r="J70" i="9"/>
  <c r="R71" i="9"/>
  <c r="R72" i="9"/>
  <c r="V78" i="9"/>
  <c r="J82" i="9"/>
  <c r="L83" i="9"/>
  <c r="N83" i="9" s="1"/>
  <c r="V90" i="9"/>
  <c r="R98" i="9"/>
  <c r="R99" i="9"/>
  <c r="J114" i="12"/>
  <c r="J118" i="12"/>
  <c r="J122" i="12"/>
  <c r="V138" i="12"/>
  <c r="V142" i="12"/>
  <c r="V146" i="12"/>
  <c r="J150" i="12"/>
  <c r="V154" i="12"/>
  <c r="J158" i="12"/>
  <c r="V162" i="12"/>
  <c r="J166" i="12"/>
  <c r="V170" i="12"/>
  <c r="J174" i="12"/>
  <c r="V178" i="12"/>
  <c r="J182" i="12"/>
  <c r="V186" i="12"/>
  <c r="J190" i="12"/>
  <c r="V198" i="12"/>
  <c r="V202" i="12"/>
  <c r="J216" i="12"/>
  <c r="V218" i="12"/>
  <c r="V226" i="12"/>
  <c r="V228" i="12"/>
  <c r="J79" i="15"/>
  <c r="J100" i="15"/>
  <c r="J117" i="15"/>
  <c r="J134" i="15"/>
  <c r="V155" i="15"/>
  <c r="V159" i="15"/>
  <c r="J171" i="15"/>
  <c r="J175" i="15"/>
  <c r="L146" i="18"/>
  <c r="N146" i="18" s="1"/>
  <c r="N223" i="18"/>
  <c r="L223" i="18"/>
  <c r="J35" i="9"/>
  <c r="R36" i="9"/>
  <c r="J39" i="9"/>
  <c r="R40" i="9"/>
  <c r="J45" i="9"/>
  <c r="R48" i="9"/>
  <c r="R49" i="9"/>
  <c r="R56" i="9"/>
  <c r="R57" i="9"/>
  <c r="J63" i="9"/>
  <c r="J75" i="9"/>
  <c r="R76" i="9"/>
  <c r="R77" i="9"/>
  <c r="R84" i="9"/>
  <c r="J87" i="9"/>
  <c r="R88" i="9"/>
  <c r="R89" i="9"/>
  <c r="J95" i="9"/>
  <c r="J107" i="9"/>
  <c r="V99" i="12"/>
  <c r="V103" i="12"/>
  <c r="V107" i="12"/>
  <c r="V111" i="12"/>
  <c r="V115" i="12"/>
  <c r="V119" i="12"/>
  <c r="J131" i="12"/>
  <c r="J135" i="12"/>
  <c r="J149" i="12"/>
  <c r="J165" i="12"/>
  <c r="V175" i="12"/>
  <c r="V187" i="12"/>
  <c r="V191" i="12"/>
  <c r="J195" i="12"/>
  <c r="V203" i="12"/>
  <c r="J207" i="12"/>
  <c r="J211" i="12"/>
  <c r="J215" i="12"/>
  <c r="J223" i="12"/>
  <c r="J86" i="15"/>
  <c r="J93" i="15"/>
  <c r="J103" i="15"/>
  <c r="J110" i="15"/>
  <c r="V150" i="15"/>
  <c r="J181" i="15"/>
  <c r="V183" i="15"/>
  <c r="N214" i="15"/>
  <c r="V221" i="15"/>
  <c r="X223" i="15"/>
  <c r="Z223" i="15" s="1"/>
  <c r="N147" i="18"/>
  <c r="V148" i="18"/>
  <c r="V150" i="18"/>
  <c r="V152" i="18"/>
  <c r="V154" i="18"/>
  <c r="J160" i="18"/>
  <c r="Z176" i="18"/>
  <c r="L182" i="18"/>
  <c r="N182" i="18" s="1"/>
  <c r="N201" i="18"/>
  <c r="V207" i="18"/>
  <c r="Z215" i="18"/>
  <c r="V219" i="18"/>
  <c r="D12" i="21"/>
  <c r="V36" i="21"/>
  <c r="V38" i="21"/>
  <c r="X55" i="21"/>
  <c r="Z55" i="21" s="1"/>
  <c r="Z57" i="21"/>
  <c r="V93" i="21"/>
  <c r="R98" i="21"/>
  <c r="Z104" i="21"/>
  <c r="D12" i="24"/>
  <c r="V97" i="18"/>
  <c r="V101" i="18"/>
  <c r="V105" i="18"/>
  <c r="V109" i="18"/>
  <c r="V113" i="18"/>
  <c r="V117" i="18"/>
  <c r="V121" i="18"/>
  <c r="V125" i="18"/>
  <c r="V129" i="18"/>
  <c r="V133" i="18"/>
  <c r="V137" i="18"/>
  <c r="V141" i="18"/>
  <c r="J162" i="18"/>
  <c r="J164" i="18"/>
  <c r="V167" i="18"/>
  <c r="J182" i="18"/>
  <c r="J195" i="18"/>
  <c r="V204" i="18"/>
  <c r="J233" i="18"/>
  <c r="V242" i="18"/>
  <c r="Z245" i="18"/>
  <c r="V248" i="18"/>
  <c r="Z40" i="24"/>
  <c r="Z91" i="24"/>
  <c r="V246" i="18"/>
  <c r="V238" i="18"/>
  <c r="V230" i="18"/>
  <c r="V226" i="18"/>
  <c r="V214" i="18"/>
  <c r="V210" i="18"/>
  <c r="V202" i="18"/>
  <c r="V194" i="18"/>
  <c r="V186" i="18"/>
  <c r="V178" i="18"/>
  <c r="V170" i="18"/>
  <c r="V146" i="18"/>
  <c r="V144" i="18"/>
  <c r="V142" i="18"/>
  <c r="V247" i="18"/>
  <c r="V237" i="18"/>
  <c r="V221" i="18"/>
  <c r="V209" i="18"/>
  <c r="V205" i="18"/>
  <c r="V189" i="18"/>
  <c r="V165" i="18"/>
  <c r="V249" i="18"/>
  <c r="V239" i="18"/>
  <c r="V231" i="18"/>
  <c r="V227" i="18"/>
  <c r="V223" i="18"/>
  <c r="V211" i="18"/>
  <c r="V195" i="18"/>
  <c r="V251" i="18"/>
  <c r="V233" i="18"/>
  <c r="V217" i="18"/>
  <c r="V197" i="18"/>
  <c r="V181" i="18"/>
  <c r="V173" i="18"/>
  <c r="V157" i="18"/>
  <c r="V153" i="18"/>
  <c r="V240" i="18"/>
  <c r="V232" i="18"/>
  <c r="V228" i="18"/>
  <c r="V224" i="18"/>
  <c r="V212" i="18"/>
  <c r="V192" i="18"/>
  <c r="V176" i="18"/>
  <c r="V255" i="18"/>
  <c r="V241" i="18"/>
  <c r="V229" i="18"/>
  <c r="V225" i="18"/>
  <c r="V213" i="18"/>
  <c r="V201" i="18"/>
  <c r="V193" i="18"/>
  <c r="V185" i="18"/>
  <c r="V177" i="18"/>
  <c r="V169" i="18"/>
  <c r="L14" i="18"/>
  <c r="H144" i="18"/>
  <c r="V158" i="18"/>
  <c r="V160" i="18"/>
  <c r="N169" i="18"/>
  <c r="J174" i="18"/>
  <c r="V180" i="18"/>
  <c r="V188" i="18"/>
  <c r="V190" i="18"/>
  <c r="J200" i="18"/>
  <c r="J230" i="18"/>
  <c r="V245" i="18"/>
  <c r="R54" i="21"/>
  <c r="N60" i="21"/>
  <c r="Z82" i="21"/>
  <c r="N87" i="21"/>
  <c r="V111" i="21"/>
  <c r="N62" i="24"/>
  <c r="Z83" i="24"/>
  <c r="J95" i="18"/>
  <c r="J99" i="18"/>
  <c r="J103" i="18"/>
  <c r="J107" i="18"/>
  <c r="J111" i="18"/>
  <c r="J115" i="18"/>
  <c r="J119" i="18"/>
  <c r="J123" i="18"/>
  <c r="J127" i="18"/>
  <c r="J131" i="18"/>
  <c r="J135" i="18"/>
  <c r="J139" i="18"/>
  <c r="V162" i="18"/>
  <c r="J166" i="18"/>
  <c r="V196" i="18"/>
  <c r="N203" i="18"/>
  <c r="V206" i="18"/>
  <c r="J208" i="18"/>
  <c r="J211" i="18"/>
  <c r="V235" i="18"/>
  <c r="V54" i="21"/>
  <c r="V82" i="21"/>
  <c r="Z147" i="18"/>
  <c r="V172" i="18"/>
  <c r="N179" i="18"/>
  <c r="J184" i="18"/>
  <c r="N187" i="18"/>
  <c r="V198" i="18"/>
  <c r="J220" i="18"/>
  <c r="J222" i="18"/>
  <c r="Z223" i="18"/>
  <c r="J232" i="18"/>
  <c r="J240" i="18"/>
  <c r="R87" i="21"/>
  <c r="V147" i="18"/>
  <c r="V149" i="18"/>
  <c r="V151" i="18"/>
  <c r="J159" i="18"/>
  <c r="V164" i="18"/>
  <c r="V166" i="18"/>
  <c r="J168" i="18"/>
  <c r="V182" i="18"/>
  <c r="X185" i="18"/>
  <c r="Z185" i="18" s="1"/>
  <c r="X223" i="18"/>
  <c r="J227" i="18"/>
  <c r="Z233" i="18"/>
  <c r="R22" i="21"/>
  <c r="Z30" i="21"/>
  <c r="V37" i="21"/>
  <c r="Z60" i="21"/>
  <c r="X87" i="21"/>
  <c r="Z87" i="21" s="1"/>
  <c r="V89" i="21"/>
  <c r="J98" i="18"/>
  <c r="J102" i="18"/>
  <c r="J106" i="18"/>
  <c r="J110" i="18"/>
  <c r="J114" i="18"/>
  <c r="J118" i="18"/>
  <c r="J122" i="18"/>
  <c r="J126" i="18"/>
  <c r="J130" i="18"/>
  <c r="J134" i="18"/>
  <c r="J138" i="18"/>
  <c r="J142" i="18"/>
  <c r="V155" i="18"/>
  <c r="N171" i="18"/>
  <c r="V174" i="18"/>
  <c r="N189" i="18"/>
  <c r="J191" i="18"/>
  <c r="J194" i="18"/>
  <c r="V200" i="18"/>
  <c r="Z203" i="18"/>
  <c r="N205" i="18"/>
  <c r="V216" i="18"/>
  <c r="V218" i="18"/>
  <c r="X220" i="18"/>
  <c r="Z220" i="18" s="1"/>
  <c r="V222" i="18"/>
  <c r="V243" i="18"/>
  <c r="J251" i="18"/>
  <c r="N29" i="21"/>
  <c r="V30" i="21"/>
  <c r="R41" i="21"/>
  <c r="R43" i="21"/>
  <c r="V60" i="21"/>
  <c r="R64" i="21"/>
  <c r="X66" i="21"/>
  <c r="Z66" i="21" s="1"/>
  <c r="Z28" i="24"/>
  <c r="N71" i="24"/>
  <c r="L71" i="24"/>
  <c r="V95" i="18"/>
  <c r="V99" i="18"/>
  <c r="V103" i="18"/>
  <c r="V107" i="18"/>
  <c r="V111" i="18"/>
  <c r="V115" i="18"/>
  <c r="V119" i="18"/>
  <c r="V123" i="18"/>
  <c r="V127" i="18"/>
  <c r="V131" i="18"/>
  <c r="V135" i="18"/>
  <c r="V139" i="18"/>
  <c r="T144" i="18"/>
  <c r="J163" i="18"/>
  <c r="V184" i="18"/>
  <c r="J189" i="18"/>
  <c r="J199" i="18"/>
  <c r="J202" i="18"/>
  <c r="V203" i="18"/>
  <c r="J205" i="18"/>
  <c r="J207" i="18"/>
  <c r="V208" i="18"/>
  <c r="R45" i="21"/>
  <c r="L104" i="21"/>
  <c r="P12" i="24"/>
  <c r="X41" i="24"/>
  <c r="Z41" i="24" s="1"/>
  <c r="V159" i="18"/>
  <c r="J178" i="18"/>
  <c r="V179" i="18"/>
  <c r="J183" i="18"/>
  <c r="J186" i="18"/>
  <c r="V187" i="18"/>
  <c r="V220" i="18"/>
  <c r="J224" i="18"/>
  <c r="J236" i="18"/>
  <c r="J239" i="18"/>
  <c r="R111" i="21"/>
  <c r="R93" i="21"/>
  <c r="R82" i="21"/>
  <c r="R81" i="21"/>
  <c r="R66" i="21"/>
  <c r="R65" i="21"/>
  <c r="R30" i="21"/>
  <c r="R25" i="21"/>
  <c r="R89" i="21"/>
  <c r="R88" i="21"/>
  <c r="R76" i="21"/>
  <c r="R57" i="21"/>
  <c r="R56" i="21"/>
  <c r="R48" i="21"/>
  <c r="R44" i="21"/>
  <c r="R29" i="21"/>
  <c r="R100" i="21"/>
  <c r="R99" i="21"/>
  <c r="R83" i="21"/>
  <c r="R68" i="21"/>
  <c r="R67" i="21"/>
  <c r="R40" i="21"/>
  <c r="R39" i="21"/>
  <c r="R35" i="21"/>
  <c r="R31" i="21"/>
  <c r="P27" i="21"/>
  <c r="R27" i="21" s="1"/>
  <c r="R94" i="21"/>
  <c r="R90" i="21"/>
  <c r="R58" i="21"/>
  <c r="R102" i="21"/>
  <c r="R101" i="21"/>
  <c r="R77" i="21"/>
  <c r="R70" i="21"/>
  <c r="R69" i="21"/>
  <c r="R84" i="21"/>
  <c r="R36" i="21"/>
  <c r="R32" i="21"/>
  <c r="R104" i="21"/>
  <c r="R103" i="21"/>
  <c r="R95" i="21"/>
  <c r="R91" i="21"/>
  <c r="R72" i="21"/>
  <c r="R71" i="21"/>
  <c r="R60" i="21"/>
  <c r="R59" i="21"/>
  <c r="R23" i="21"/>
  <c r="R79" i="21"/>
  <c r="R78" i="21"/>
  <c r="R51" i="21"/>
  <c r="R50" i="21"/>
  <c r="R46" i="21"/>
  <c r="R42" i="21"/>
  <c r="R105" i="21"/>
  <c r="R85" i="21"/>
  <c r="R74" i="21"/>
  <c r="R73" i="21"/>
  <c r="R62" i="21"/>
  <c r="R61" i="21"/>
  <c r="R37" i="21"/>
  <c r="R33" i="21"/>
  <c r="R107" i="21"/>
  <c r="R97" i="21"/>
  <c r="R96" i="21"/>
  <c r="R92" i="21"/>
  <c r="R80" i="21"/>
  <c r="R53" i="21"/>
  <c r="R52" i="21"/>
  <c r="R24" i="21"/>
  <c r="X12" i="21"/>
  <c r="R49" i="21"/>
  <c r="L55" i="21"/>
  <c r="N55" i="21" s="1"/>
  <c r="V66" i="21"/>
  <c r="R86" i="21"/>
  <c r="N104" i="21"/>
  <c r="X77" i="24"/>
  <c r="Z77" i="24" s="1"/>
  <c r="J97" i="18"/>
  <c r="J101" i="18"/>
  <c r="J105" i="18"/>
  <c r="J109" i="18"/>
  <c r="J113" i="18"/>
  <c r="J117" i="18"/>
  <c r="J121" i="18"/>
  <c r="J125" i="18"/>
  <c r="J129" i="18"/>
  <c r="J133" i="18"/>
  <c r="J137" i="18"/>
  <c r="J141" i="18"/>
  <c r="V161" i="18"/>
  <c r="J167" i="18"/>
  <c r="V168" i="18"/>
  <c r="Z171" i="18"/>
  <c r="J175" i="18"/>
  <c r="V191" i="18"/>
  <c r="Z192" i="18"/>
  <c r="J231" i="18"/>
  <c r="J242" i="18"/>
  <c r="V100" i="21"/>
  <c r="V88" i="21"/>
  <c r="V76" i="21"/>
  <c r="V68" i="21"/>
  <c r="V56" i="21"/>
  <c r="V48" i="21"/>
  <c r="V44" i="21"/>
  <c r="V40" i="21"/>
  <c r="T27" i="21"/>
  <c r="V99" i="21"/>
  <c r="V83" i="21"/>
  <c r="V67" i="21"/>
  <c r="V39" i="21"/>
  <c r="V35" i="21"/>
  <c r="V31" i="21"/>
  <c r="V102" i="21"/>
  <c r="V94" i="21"/>
  <c r="V90" i="21"/>
  <c r="V70" i="21"/>
  <c r="V58" i="21"/>
  <c r="V22" i="21"/>
  <c r="V101" i="21"/>
  <c r="V77" i="21"/>
  <c r="V69" i="21"/>
  <c r="V49" i="21"/>
  <c r="V45" i="21"/>
  <c r="V41" i="21"/>
  <c r="V104" i="21"/>
  <c r="V84" i="21"/>
  <c r="V72" i="21"/>
  <c r="V103" i="21"/>
  <c r="V95" i="21"/>
  <c r="V91" i="21"/>
  <c r="V79" i="21"/>
  <c r="V71" i="21"/>
  <c r="V59" i="21"/>
  <c r="V51" i="21"/>
  <c r="V23" i="21"/>
  <c r="V78" i="21"/>
  <c r="V74" i="21"/>
  <c r="V62" i="21"/>
  <c r="V50" i="21"/>
  <c r="V46" i="21"/>
  <c r="V42" i="21"/>
  <c r="V107" i="21"/>
  <c r="V105" i="21"/>
  <c r="V97" i="21"/>
  <c r="V85" i="21"/>
  <c r="V73" i="21"/>
  <c r="V61" i="21"/>
  <c r="V53" i="21"/>
  <c r="V96" i="21"/>
  <c r="V92" i="21"/>
  <c r="V80" i="21"/>
  <c r="V64" i="21"/>
  <c r="V52" i="21"/>
  <c r="V24" i="21"/>
  <c r="Z12" i="21"/>
  <c r="V87" i="21"/>
  <c r="V75" i="21"/>
  <c r="V63" i="21"/>
  <c r="V55" i="21"/>
  <c r="V47" i="21"/>
  <c r="V43" i="21"/>
  <c r="V25" i="21"/>
  <c r="V86" i="21"/>
  <c r="J104" i="21"/>
  <c r="J234" i="18"/>
  <c r="J218" i="18"/>
  <c r="J192" i="18"/>
  <c r="J176" i="18"/>
  <c r="J154" i="18"/>
  <c r="J150" i="18"/>
  <c r="J255" i="18"/>
  <c r="J241" i="18"/>
  <c r="J229" i="18"/>
  <c r="J225" i="18"/>
  <c r="J213" i="18"/>
  <c r="J193" i="18"/>
  <c r="J177" i="18"/>
  <c r="J243" i="18"/>
  <c r="J235" i="18"/>
  <c r="J219" i="18"/>
  <c r="J201" i="18"/>
  <c r="J185" i="18"/>
  <c r="J169" i="18"/>
  <c r="J155" i="18"/>
  <c r="J151" i="18"/>
  <c r="J246" i="18"/>
  <c r="J245" i="18"/>
  <c r="J237" i="18"/>
  <c r="J221" i="18"/>
  <c r="J215" i="18"/>
  <c r="J209" i="18"/>
  <c r="J203" i="18"/>
  <c r="J187" i="18"/>
  <c r="J179" i="18"/>
  <c r="J171" i="18"/>
  <c r="J165" i="18"/>
  <c r="J161" i="18"/>
  <c r="J247" i="18"/>
  <c r="J238" i="18"/>
  <c r="J216" i="18"/>
  <c r="J210" i="18"/>
  <c r="J204" i="18"/>
  <c r="J188" i="18"/>
  <c r="J180" i="18"/>
  <c r="J172" i="18"/>
  <c r="J156" i="18"/>
  <c r="J152" i="18"/>
  <c r="J148" i="18"/>
  <c r="J146" i="18"/>
  <c r="J144" i="18"/>
  <c r="J249" i="18"/>
  <c r="J250" i="18"/>
  <c r="J223" i="18"/>
  <c r="J217" i="18"/>
  <c r="J197" i="18"/>
  <c r="J181" i="18"/>
  <c r="J173" i="18"/>
  <c r="J157" i="18"/>
  <c r="J153" i="18"/>
  <c r="J149" i="18"/>
  <c r="V94" i="18"/>
  <c r="V98" i="18"/>
  <c r="V102" i="18"/>
  <c r="V106" i="18"/>
  <c r="V110" i="18"/>
  <c r="V114" i="18"/>
  <c r="V118" i="18"/>
  <c r="V122" i="18"/>
  <c r="V126" i="18"/>
  <c r="V130" i="18"/>
  <c r="V134" i="18"/>
  <c r="V138" i="18"/>
  <c r="J158" i="18"/>
  <c r="V163" i="18"/>
  <c r="J170" i="18"/>
  <c r="V171" i="18"/>
  <c r="J196" i="18"/>
  <c r="V199" i="18"/>
  <c r="J212" i="18"/>
  <c r="J226" i="18"/>
  <c r="V234" i="18"/>
  <c r="N245" i="18"/>
  <c r="V29" i="21"/>
  <c r="R38" i="21"/>
  <c r="R55" i="21"/>
  <c r="R63" i="21"/>
  <c r="R75" i="21"/>
  <c r="Z115" i="27"/>
  <c r="T38" i="24"/>
  <c r="J23" i="21"/>
  <c r="J59" i="21"/>
  <c r="J71" i="21"/>
  <c r="J91" i="21"/>
  <c r="J95" i="21"/>
  <c r="J103" i="21"/>
  <c r="V41" i="24"/>
  <c r="V45" i="24"/>
  <c r="V49" i="24"/>
  <c r="J53" i="24"/>
  <c r="J57" i="24"/>
  <c r="J61" i="24"/>
  <c r="V65" i="24"/>
  <c r="J71" i="24"/>
  <c r="V77" i="24"/>
  <c r="J81" i="24"/>
  <c r="V89" i="24"/>
  <c r="L58" i="27"/>
  <c r="N58" i="27" s="1"/>
  <c r="R60" i="27"/>
  <c r="J71" i="27"/>
  <c r="J75" i="27"/>
  <c r="R82" i="27"/>
  <c r="J91" i="27"/>
  <c r="N103" i="27"/>
  <c r="X102" i="30"/>
  <c r="Z106" i="30"/>
  <c r="X106" i="30"/>
  <c r="N111" i="30"/>
  <c r="L111" i="30"/>
  <c r="J22" i="21"/>
  <c r="J32" i="21"/>
  <c r="J36" i="21"/>
  <c r="J70" i="21"/>
  <c r="J84" i="21"/>
  <c r="J102" i="21"/>
  <c r="J30" i="24"/>
  <c r="J34" i="24"/>
  <c r="V58" i="24"/>
  <c r="V66" i="24"/>
  <c r="J70" i="24"/>
  <c r="V74" i="24"/>
  <c r="J80" i="24"/>
  <c r="V82" i="24"/>
  <c r="J86" i="24"/>
  <c r="J94" i="24"/>
  <c r="J118" i="27"/>
  <c r="J107" i="27"/>
  <c r="J101" i="27"/>
  <c r="J93" i="27"/>
  <c r="J77" i="27"/>
  <c r="J73" i="27"/>
  <c r="J108" i="27"/>
  <c r="J84" i="27"/>
  <c r="J68" i="27"/>
  <c r="J64" i="27"/>
  <c r="J60" i="27"/>
  <c r="J85" i="27"/>
  <c r="J69" i="27"/>
  <c r="J51" i="27"/>
  <c r="J47" i="27"/>
  <c r="J43" i="27"/>
  <c r="J39" i="27"/>
  <c r="J122" i="27"/>
  <c r="J102" i="27"/>
  <c r="J94" i="27"/>
  <c r="J86" i="27"/>
  <c r="J78" i="27"/>
  <c r="J74" i="27"/>
  <c r="J70" i="27"/>
  <c r="J109" i="27"/>
  <c r="J103" i="27"/>
  <c r="J95" i="27"/>
  <c r="J87" i="27"/>
  <c r="J65" i="27"/>
  <c r="J61" i="27"/>
  <c r="J111" i="27"/>
  <c r="J97" i="27"/>
  <c r="J89" i="27"/>
  <c r="J79" i="27"/>
  <c r="J112" i="27"/>
  <c r="J98" i="27"/>
  <c r="J90" i="27"/>
  <c r="J80" i="27"/>
  <c r="J66" i="27"/>
  <c r="J62" i="27"/>
  <c r="J113" i="27"/>
  <c r="J105" i="27"/>
  <c r="J81" i="27"/>
  <c r="J53" i="27"/>
  <c r="J49" i="27"/>
  <c r="J45" i="27"/>
  <c r="J41" i="27"/>
  <c r="J117" i="27"/>
  <c r="J106" i="27"/>
  <c r="J100" i="27"/>
  <c r="J92" i="27"/>
  <c r="H55" i="27"/>
  <c r="J50" i="27"/>
  <c r="J46" i="27"/>
  <c r="J42" i="27"/>
  <c r="J38" i="27"/>
  <c r="J58" i="27"/>
  <c r="J67" i="27"/>
  <c r="L87" i="27"/>
  <c r="N89" i="27"/>
  <c r="L95" i="27"/>
  <c r="H171" i="30"/>
  <c r="N81" i="30"/>
  <c r="Z102" i="30"/>
  <c r="N128" i="30"/>
  <c r="L128" i="30"/>
  <c r="F68" i="33"/>
  <c r="F52" i="33"/>
  <c r="F48" i="33"/>
  <c r="F44" i="33"/>
  <c r="F43" i="33"/>
  <c r="F75" i="33"/>
  <c r="F63" i="33"/>
  <c r="F62" i="33"/>
  <c r="F88" i="33"/>
  <c r="F53" i="33"/>
  <c r="F49" i="33"/>
  <c r="F45" i="33"/>
  <c r="F78" i="33"/>
  <c r="F77" i="33"/>
  <c r="F66" i="33"/>
  <c r="F65" i="33"/>
  <c r="F50" i="33"/>
  <c r="F46" i="33"/>
  <c r="F80" i="33"/>
  <c r="F79" i="33"/>
  <c r="F67" i="33"/>
  <c r="F59" i="33"/>
  <c r="F58" i="33"/>
  <c r="F51" i="33"/>
  <c r="F47" i="33"/>
  <c r="F69" i="33"/>
  <c r="F41" i="33"/>
  <c r="F37" i="33"/>
  <c r="F73" i="33"/>
  <c r="F60" i="33"/>
  <c r="F32" i="33"/>
  <c r="F30" i="33"/>
  <c r="F54" i="33"/>
  <c r="F42" i="33"/>
  <c r="F40" i="33"/>
  <c r="F35" i="33"/>
  <c r="F71" i="33"/>
  <c r="F38" i="33"/>
  <c r="F61" i="33"/>
  <c r="F55" i="33"/>
  <c r="F74" i="33"/>
  <c r="F64" i="33"/>
  <c r="F36" i="33"/>
  <c r="F27" i="33"/>
  <c r="F26" i="33"/>
  <c r="F72" i="33"/>
  <c r="F56" i="33"/>
  <c r="F83" i="33"/>
  <c r="F39" i="33"/>
  <c r="F70" i="33"/>
  <c r="F57" i="33"/>
  <c r="F28" i="33"/>
  <c r="F84" i="33"/>
  <c r="F33" i="33"/>
  <c r="F76" i="33"/>
  <c r="D30" i="33"/>
  <c r="F34" i="33"/>
  <c r="J69" i="21"/>
  <c r="J77" i="21"/>
  <c r="J101" i="21"/>
  <c r="J79" i="24"/>
  <c r="R122" i="27"/>
  <c r="R103" i="27"/>
  <c r="R102" i="27"/>
  <c r="R95" i="27"/>
  <c r="R94" i="27"/>
  <c r="R87" i="27"/>
  <c r="R86" i="27"/>
  <c r="R78" i="27"/>
  <c r="R74" i="27"/>
  <c r="R70" i="27"/>
  <c r="R110" i="27"/>
  <c r="R109" i="27"/>
  <c r="R65" i="27"/>
  <c r="R61" i="27"/>
  <c r="R104" i="27"/>
  <c r="R97" i="27"/>
  <c r="R96" i="27"/>
  <c r="R89" i="27"/>
  <c r="R88" i="27"/>
  <c r="R52" i="27"/>
  <c r="R48" i="27"/>
  <c r="R44" i="27"/>
  <c r="R40" i="27"/>
  <c r="R112" i="27"/>
  <c r="R111" i="27"/>
  <c r="R80" i="27"/>
  <c r="R79" i="27"/>
  <c r="R75" i="27"/>
  <c r="R71" i="27"/>
  <c r="R98" i="27"/>
  <c r="R90" i="27"/>
  <c r="R66" i="27"/>
  <c r="R62" i="27"/>
  <c r="R116" i="27"/>
  <c r="R117" i="27"/>
  <c r="R100" i="27"/>
  <c r="R99" i="27"/>
  <c r="R92" i="27"/>
  <c r="R91" i="27"/>
  <c r="R83" i="27"/>
  <c r="R67" i="27"/>
  <c r="R63" i="27"/>
  <c r="R59" i="27"/>
  <c r="P55" i="27"/>
  <c r="R118" i="27"/>
  <c r="R107" i="27"/>
  <c r="R106" i="27"/>
  <c r="R50" i="27"/>
  <c r="R46" i="27"/>
  <c r="R42" i="27"/>
  <c r="R38" i="27"/>
  <c r="X12" i="27"/>
  <c r="R51" i="27"/>
  <c r="R47" i="27"/>
  <c r="R43" i="27"/>
  <c r="R39" i="27"/>
  <c r="T120" i="27"/>
  <c r="N87" i="27"/>
  <c r="N95" i="27"/>
  <c r="R101" i="27"/>
  <c r="R105" i="27"/>
  <c r="J116" i="27"/>
  <c r="N115" i="30"/>
  <c r="L14" i="33"/>
  <c r="H86" i="33"/>
  <c r="J30" i="33"/>
  <c r="H27" i="21"/>
  <c r="J40" i="21"/>
  <c r="J58" i="21"/>
  <c r="J68" i="21"/>
  <c r="J90" i="21"/>
  <c r="J94" i="21"/>
  <c r="J100" i="21"/>
  <c r="V44" i="24"/>
  <c r="V48" i="24"/>
  <c r="J52" i="24"/>
  <c r="J56" i="24"/>
  <c r="J60" i="24"/>
  <c r="V64" i="24"/>
  <c r="V72" i="24"/>
  <c r="V88" i="24"/>
  <c r="J92" i="24"/>
  <c r="V98" i="24"/>
  <c r="V109" i="27"/>
  <c r="V97" i="27"/>
  <c r="V89" i="27"/>
  <c r="V65" i="27"/>
  <c r="V61" i="27"/>
  <c r="V112" i="27"/>
  <c r="V104" i="27"/>
  <c r="V96" i="27"/>
  <c r="V88" i="27"/>
  <c r="V80" i="27"/>
  <c r="V52" i="27"/>
  <c r="V48" i="27"/>
  <c r="V44" i="27"/>
  <c r="V40" i="27"/>
  <c r="V111" i="27"/>
  <c r="V79" i="27"/>
  <c r="V75" i="27"/>
  <c r="V71" i="27"/>
  <c r="V98" i="27"/>
  <c r="V90" i="27"/>
  <c r="V82" i="27"/>
  <c r="V66" i="27"/>
  <c r="V62" i="27"/>
  <c r="V58" i="27"/>
  <c r="V115" i="27"/>
  <c r="V113" i="27"/>
  <c r="V105" i="27"/>
  <c r="V81" i="27"/>
  <c r="V57" i="27"/>
  <c r="V55" i="27"/>
  <c r="V53" i="27"/>
  <c r="V49" i="27"/>
  <c r="V45" i="27"/>
  <c r="V41" i="27"/>
  <c r="V37" i="27"/>
  <c r="V117" i="27"/>
  <c r="V107" i="27"/>
  <c r="V99" i="27"/>
  <c r="V91" i="27"/>
  <c r="V83" i="27"/>
  <c r="V120" i="27"/>
  <c r="V118" i="27"/>
  <c r="V106" i="27"/>
  <c r="V50" i="27"/>
  <c r="V46" i="27"/>
  <c r="V42" i="27"/>
  <c r="V38" i="27"/>
  <c r="Z12" i="27"/>
  <c r="V101" i="27"/>
  <c r="V93" i="27"/>
  <c r="V85" i="27"/>
  <c r="V77" i="27"/>
  <c r="V73" i="27"/>
  <c r="V69" i="27"/>
  <c r="V122" i="27"/>
  <c r="V110" i="27"/>
  <c r="V102" i="27"/>
  <c r="V94" i="27"/>
  <c r="V86" i="27"/>
  <c r="V78" i="27"/>
  <c r="V74" i="27"/>
  <c r="V70" i="27"/>
  <c r="V39" i="27"/>
  <c r="R58" i="27"/>
  <c r="V67" i="27"/>
  <c r="R69" i="27"/>
  <c r="R73" i="27"/>
  <c r="J83" i="27"/>
  <c r="N85" i="27"/>
  <c r="V103" i="27"/>
  <c r="X81" i="30"/>
  <c r="Z81" i="30" s="1"/>
  <c r="J27" i="21"/>
  <c r="J29" i="21"/>
  <c r="J31" i="21"/>
  <c r="J35" i="21"/>
  <c r="J39" i="21"/>
  <c r="J57" i="21"/>
  <c r="X62" i="21"/>
  <c r="Z62" i="21" s="1"/>
  <c r="J67" i="21"/>
  <c r="L68" i="21"/>
  <c r="N68" i="21" s="1"/>
  <c r="X74" i="21"/>
  <c r="Z74" i="21" s="1"/>
  <c r="J83" i="21"/>
  <c r="J89" i="21"/>
  <c r="J99" i="21"/>
  <c r="L100" i="21"/>
  <c r="J29" i="24"/>
  <c r="J33" i="24"/>
  <c r="H38" i="24"/>
  <c r="J51" i="24"/>
  <c r="V57" i="24"/>
  <c r="V61" i="24"/>
  <c r="X64" i="24"/>
  <c r="J69" i="24"/>
  <c r="V73" i="24"/>
  <c r="V81" i="24"/>
  <c r="J85" i="24"/>
  <c r="X88" i="24"/>
  <c r="Z88" i="24" s="1"/>
  <c r="J91" i="24"/>
  <c r="R77" i="27"/>
  <c r="R81" i="27"/>
  <c r="R93" i="27"/>
  <c r="R113" i="27"/>
  <c r="X118" i="27"/>
  <c r="P115" i="27"/>
  <c r="X115" i="27" s="1"/>
  <c r="P12" i="30"/>
  <c r="X13" i="30"/>
  <c r="Z13" i="30" s="1"/>
  <c r="L80" i="30"/>
  <c r="J86" i="33"/>
  <c r="J66" i="21"/>
  <c r="J76" i="21"/>
  <c r="J82" i="21"/>
  <c r="J88" i="21"/>
  <c r="J28" i="24"/>
  <c r="J38" i="24"/>
  <c r="J40" i="24"/>
  <c r="J42" i="24"/>
  <c r="J46" i="24"/>
  <c r="J50" i="24"/>
  <c r="J68" i="24"/>
  <c r="J78" i="24"/>
  <c r="J90" i="24"/>
  <c r="D12" i="27"/>
  <c r="L13" i="27"/>
  <c r="N13" i="27" s="1"/>
  <c r="R37" i="27"/>
  <c r="R41" i="27"/>
  <c r="R85" i="27"/>
  <c r="N80" i="30"/>
  <c r="L55" i="36"/>
  <c r="N55" i="36" s="1"/>
  <c r="J25" i="21"/>
  <c r="J55" i="21"/>
  <c r="J65" i="21"/>
  <c r="J81" i="21"/>
  <c r="J87" i="21"/>
  <c r="J93" i="21"/>
  <c r="J111" i="21"/>
  <c r="J41" i="24"/>
  <c r="V43" i="24"/>
  <c r="V47" i="24"/>
  <c r="J55" i="24"/>
  <c r="J59" i="24"/>
  <c r="J67" i="24"/>
  <c r="V71" i="24"/>
  <c r="J77" i="24"/>
  <c r="V79" i="24"/>
  <c r="Z37" i="27"/>
  <c r="R45" i="27"/>
  <c r="V51" i="27"/>
  <c r="J59" i="27"/>
  <c r="Z85" i="27"/>
  <c r="X85" i="27"/>
  <c r="J104" i="27"/>
  <c r="N52" i="30"/>
  <c r="Z142" i="30"/>
  <c r="J34" i="21"/>
  <c r="J38" i="21"/>
  <c r="J54" i="21"/>
  <c r="J64" i="21"/>
  <c r="J86" i="21"/>
  <c r="L87" i="21"/>
  <c r="J98" i="21"/>
  <c r="J32" i="24"/>
  <c r="J36" i="24"/>
  <c r="L41" i="24"/>
  <c r="N41" i="24" s="1"/>
  <c r="J66" i="24"/>
  <c r="X71" i="24"/>
  <c r="Z71" i="24" s="1"/>
  <c r="J76" i="24"/>
  <c r="L77" i="24"/>
  <c r="N77" i="24" s="1"/>
  <c r="V80" i="24"/>
  <c r="J84" i="24"/>
  <c r="V92" i="24"/>
  <c r="V94" i="24"/>
  <c r="R49" i="27"/>
  <c r="J76" i="27"/>
  <c r="J43" i="21"/>
  <c r="J47" i="21"/>
  <c r="J53" i="21"/>
  <c r="J63" i="21"/>
  <c r="J75" i="21"/>
  <c r="J97" i="21"/>
  <c r="J107" i="21"/>
  <c r="J45" i="24"/>
  <c r="J49" i="24"/>
  <c r="J65" i="24"/>
  <c r="V69" i="24"/>
  <c r="J75" i="24"/>
  <c r="J83" i="24"/>
  <c r="V85" i="24"/>
  <c r="J89" i="24"/>
  <c r="J40" i="27"/>
  <c r="R53" i="27"/>
  <c r="R57" i="27"/>
  <c r="R68" i="27"/>
  <c r="R72" i="27"/>
  <c r="J88" i="27"/>
  <c r="J96" i="27"/>
  <c r="R108" i="27"/>
  <c r="J110" i="27"/>
  <c r="D12" i="30"/>
  <c r="X138" i="30"/>
  <c r="Z138" i="30" s="1"/>
  <c r="N145" i="30"/>
  <c r="J24" i="21"/>
  <c r="J52" i="21"/>
  <c r="J62" i="21"/>
  <c r="J74" i="21"/>
  <c r="J80" i="21"/>
  <c r="J92" i="21"/>
  <c r="V42" i="24"/>
  <c r="V46" i="24"/>
  <c r="V50" i="24"/>
  <c r="J54" i="24"/>
  <c r="J58" i="24"/>
  <c r="J64" i="24"/>
  <c r="J74" i="24"/>
  <c r="V78" i="24"/>
  <c r="J82" i="24"/>
  <c r="J88" i="24"/>
  <c r="J44" i="27"/>
  <c r="Z57" i="27"/>
  <c r="R64" i="27"/>
  <c r="V68" i="27"/>
  <c r="V72" i="27"/>
  <c r="L82" i="27"/>
  <c r="N82" i="27" s="1"/>
  <c r="R84" i="27"/>
  <c r="Z100" i="27"/>
  <c r="V108" i="27"/>
  <c r="J115" i="27"/>
  <c r="L166" i="30"/>
  <c r="D165" i="30"/>
  <c r="L165" i="30" s="1"/>
  <c r="N165" i="30" s="1"/>
  <c r="J55" i="30"/>
  <c r="J59" i="30"/>
  <c r="J63" i="30"/>
  <c r="J67" i="30"/>
  <c r="J71" i="30"/>
  <c r="J75" i="30"/>
  <c r="T78" i="30"/>
  <c r="V91" i="30"/>
  <c r="V95" i="30"/>
  <c r="V99" i="30"/>
  <c r="J103" i="30"/>
  <c r="V107" i="30"/>
  <c r="J113" i="30"/>
  <c r="J121" i="30"/>
  <c r="J131" i="30"/>
  <c r="V139" i="30"/>
  <c r="J143" i="30"/>
  <c r="V148" i="30"/>
  <c r="J155" i="30"/>
  <c r="V160" i="30"/>
  <c r="N162" i="30"/>
  <c r="V163" i="30"/>
  <c r="V168" i="30"/>
  <c r="V173" i="30"/>
  <c r="V43" i="33"/>
  <c r="L60" i="33"/>
  <c r="N60" i="33"/>
  <c r="R37" i="36"/>
  <c r="J54" i="30"/>
  <c r="J58" i="30"/>
  <c r="J62" i="30"/>
  <c r="J66" i="30"/>
  <c r="J70" i="30"/>
  <c r="J74" i="30"/>
  <c r="V94" i="30"/>
  <c r="V98" i="30"/>
  <c r="V106" i="30"/>
  <c r="J110" i="30"/>
  <c r="V114" i="30"/>
  <c r="V122" i="30"/>
  <c r="J128" i="30"/>
  <c r="V138" i="30"/>
  <c r="V152" i="30"/>
  <c r="N154" i="30"/>
  <c r="V155" i="30"/>
  <c r="P12" i="33"/>
  <c r="X55" i="36"/>
  <c r="Z55" i="36" s="1"/>
  <c r="V55" i="30"/>
  <c r="V59" i="30"/>
  <c r="V63" i="30"/>
  <c r="V67" i="30"/>
  <c r="V71" i="30"/>
  <c r="V75" i="30"/>
  <c r="J83" i="30"/>
  <c r="J87" i="30"/>
  <c r="V103" i="30"/>
  <c r="V115" i="30"/>
  <c r="J119" i="30"/>
  <c r="V123" i="30"/>
  <c r="J127" i="30"/>
  <c r="V131" i="30"/>
  <c r="J135" i="30"/>
  <c r="V143" i="30"/>
  <c r="V147" i="30"/>
  <c r="J149" i="30"/>
  <c r="J154" i="30"/>
  <c r="V159" i="30"/>
  <c r="J161" i="30"/>
  <c r="V79" i="33"/>
  <c r="V55" i="33"/>
  <c r="V78" i="33"/>
  <c r="V66" i="33"/>
  <c r="V58" i="33"/>
  <c r="V73" i="33"/>
  <c r="V82" i="33"/>
  <c r="V80" i="33"/>
  <c r="V60" i="33"/>
  <c r="V84" i="33"/>
  <c r="V74" i="33"/>
  <c r="V69" i="33"/>
  <c r="V61" i="33"/>
  <c r="V75" i="33"/>
  <c r="V71" i="33"/>
  <c r="V63" i="33"/>
  <c r="V88" i="33"/>
  <c r="V70" i="33"/>
  <c r="V54" i="33"/>
  <c r="V67" i="33"/>
  <c r="V56" i="33"/>
  <c r="V38" i="33"/>
  <c r="V36" i="33"/>
  <c r="V52" i="33"/>
  <c r="V49" i="33"/>
  <c r="V46" i="33"/>
  <c r="V33" i="33"/>
  <c r="V72" i="33"/>
  <c r="V64" i="33"/>
  <c r="V59" i="33"/>
  <c r="V41" i="33"/>
  <c r="V83" i="33"/>
  <c r="V57" i="33"/>
  <c r="V44" i="33"/>
  <c r="V39" i="33"/>
  <c r="V37" i="33"/>
  <c r="V34" i="33"/>
  <c r="V76" i="33"/>
  <c r="V65" i="33"/>
  <c r="V53" i="33"/>
  <c r="V50" i="33"/>
  <c r="V47" i="33"/>
  <c r="V27" i="33"/>
  <c r="V84" i="30"/>
  <c r="V88" i="30"/>
  <c r="J92" i="30"/>
  <c r="J96" i="30"/>
  <c r="J100" i="30"/>
  <c r="V104" i="30"/>
  <c r="V112" i="30"/>
  <c r="J118" i="30"/>
  <c r="V120" i="30"/>
  <c r="J126" i="30"/>
  <c r="J134" i="30"/>
  <c r="V136" i="30"/>
  <c r="J140" i="30"/>
  <c r="J151" i="30"/>
  <c r="J157" i="30"/>
  <c r="V162" i="30"/>
  <c r="R123" i="36"/>
  <c r="R122" i="36"/>
  <c r="R107" i="36"/>
  <c r="R103" i="36"/>
  <c r="R99" i="36"/>
  <c r="R87" i="36"/>
  <c r="R51" i="36"/>
  <c r="R47" i="36"/>
  <c r="R43" i="36"/>
  <c r="R124" i="36"/>
  <c r="R115" i="36"/>
  <c r="R114" i="36"/>
  <c r="R82" i="36"/>
  <c r="R71" i="36"/>
  <c r="R70" i="36"/>
  <c r="R38" i="36"/>
  <c r="R34" i="36"/>
  <c r="R125" i="36"/>
  <c r="R93" i="36"/>
  <c r="R61" i="36"/>
  <c r="R25" i="36"/>
  <c r="R126" i="36"/>
  <c r="R116" i="36"/>
  <c r="R108" i="36"/>
  <c r="R104" i="36"/>
  <c r="R100" i="36"/>
  <c r="R89" i="36"/>
  <c r="R88" i="36"/>
  <c r="R73" i="36"/>
  <c r="R72" i="36"/>
  <c r="R53" i="36"/>
  <c r="R52" i="36"/>
  <c r="R48" i="36"/>
  <c r="R44" i="36"/>
  <c r="R83" i="36"/>
  <c r="R95" i="36"/>
  <c r="R94" i="36"/>
  <c r="R90" i="36"/>
  <c r="R75" i="36"/>
  <c r="R74" i="36"/>
  <c r="R63" i="36"/>
  <c r="R62" i="36"/>
  <c r="R55" i="36"/>
  <c r="R54" i="36"/>
  <c r="R31" i="36"/>
  <c r="R26" i="36"/>
  <c r="R117" i="36"/>
  <c r="R110" i="36"/>
  <c r="R109" i="36"/>
  <c r="R105" i="36"/>
  <c r="R101" i="36"/>
  <c r="R49" i="36"/>
  <c r="R45" i="36"/>
  <c r="R30" i="36"/>
  <c r="R130" i="36"/>
  <c r="R96" i="36"/>
  <c r="R84" i="36"/>
  <c r="R77" i="36"/>
  <c r="R76" i="36"/>
  <c r="R65" i="36"/>
  <c r="R64" i="36"/>
  <c r="R57" i="36"/>
  <c r="R56" i="36"/>
  <c r="R40" i="36"/>
  <c r="R36" i="36"/>
  <c r="R32" i="36"/>
  <c r="P28" i="36"/>
  <c r="R111" i="36"/>
  <c r="R91" i="36"/>
  <c r="R119" i="36"/>
  <c r="R118" i="36"/>
  <c r="R106" i="36"/>
  <c r="R102" i="36"/>
  <c r="R79" i="36"/>
  <c r="R78" i="36"/>
  <c r="R67" i="36"/>
  <c r="R66" i="36"/>
  <c r="R59" i="36"/>
  <c r="R58" i="36"/>
  <c r="R50" i="36"/>
  <c r="R46" i="36"/>
  <c r="R23" i="36"/>
  <c r="X12" i="36"/>
  <c r="R120" i="36"/>
  <c r="R113" i="36"/>
  <c r="R112" i="36"/>
  <c r="R92" i="36"/>
  <c r="R81" i="36"/>
  <c r="R80" i="36"/>
  <c r="R69" i="36"/>
  <c r="R68" i="36"/>
  <c r="R60" i="36"/>
  <c r="R35" i="36"/>
  <c r="R33" i="36"/>
  <c r="R41" i="36"/>
  <c r="R24" i="36"/>
  <c r="R85" i="36"/>
  <c r="R97" i="36"/>
  <c r="R42" i="36"/>
  <c r="R86" i="36"/>
  <c r="R98" i="36"/>
  <c r="N26" i="33"/>
  <c r="L26" i="33"/>
  <c r="X100" i="27"/>
  <c r="L110" i="27"/>
  <c r="J160" i="30"/>
  <c r="J152" i="30"/>
  <c r="J148" i="30"/>
  <c r="J150" i="30"/>
  <c r="J146" i="30"/>
  <c r="J166" i="30"/>
  <c r="J165" i="30"/>
  <c r="J52" i="30"/>
  <c r="V58" i="30"/>
  <c r="V62" i="30"/>
  <c r="V66" i="30"/>
  <c r="V70" i="30"/>
  <c r="V74" i="30"/>
  <c r="J78" i="30"/>
  <c r="J80" i="30"/>
  <c r="J82" i="30"/>
  <c r="J86" i="30"/>
  <c r="J90" i="30"/>
  <c r="L91" i="30"/>
  <c r="N91" i="30" s="1"/>
  <c r="V102" i="30"/>
  <c r="J108" i="30"/>
  <c r="V110" i="30"/>
  <c r="X113" i="30"/>
  <c r="Z113" i="30" s="1"/>
  <c r="X121" i="30"/>
  <c r="Z121" i="30" s="1"/>
  <c r="V130" i="30"/>
  <c r="V142" i="30"/>
  <c r="V149" i="30"/>
  <c r="V151" i="30"/>
  <c r="J153" i="30"/>
  <c r="V161" i="30"/>
  <c r="J168" i="30"/>
  <c r="J26" i="33"/>
  <c r="T30" i="33"/>
  <c r="J81" i="30"/>
  <c r="V83" i="30"/>
  <c r="V87" i="30"/>
  <c r="J95" i="30"/>
  <c r="J99" i="30"/>
  <c r="J107" i="30"/>
  <c r="V111" i="30"/>
  <c r="V119" i="30"/>
  <c r="V127" i="30"/>
  <c r="V135" i="30"/>
  <c r="J139" i="30"/>
  <c r="J145" i="30"/>
  <c r="V154" i="30"/>
  <c r="J156" i="30"/>
  <c r="J173" i="30"/>
  <c r="V30" i="33"/>
  <c r="X33" i="33"/>
  <c r="Z33" i="33" s="1"/>
  <c r="P82" i="33"/>
  <c r="X82" i="33" s="1"/>
  <c r="X84" i="33"/>
  <c r="N95" i="36"/>
  <c r="L95" i="36"/>
  <c r="J56" i="30"/>
  <c r="J60" i="30"/>
  <c r="J64" i="30"/>
  <c r="J68" i="30"/>
  <c r="J72" i="30"/>
  <c r="J76" i="30"/>
  <c r="V92" i="30"/>
  <c r="V96" i="30"/>
  <c r="V100" i="30"/>
  <c r="J106" i="30"/>
  <c r="J116" i="30"/>
  <c r="J124" i="30"/>
  <c r="V128" i="30"/>
  <c r="J132" i="30"/>
  <c r="J138" i="30"/>
  <c r="V140" i="30"/>
  <c r="J144" i="30"/>
  <c r="J163" i="30"/>
  <c r="V169" i="30"/>
  <c r="V65" i="30"/>
  <c r="V69" i="30"/>
  <c r="V73" i="30"/>
  <c r="J85" i="30"/>
  <c r="J89" i="30"/>
  <c r="J105" i="30"/>
  <c r="V109" i="30"/>
  <c r="J115" i="30"/>
  <c r="V117" i="30"/>
  <c r="J123" i="30"/>
  <c r="V125" i="30"/>
  <c r="V133" i="30"/>
  <c r="J137" i="30"/>
  <c r="V146" i="30"/>
  <c r="V153" i="30"/>
  <c r="V157" i="30"/>
  <c r="V26" i="33"/>
  <c r="N32" i="33"/>
  <c r="J32" i="33"/>
  <c r="F125" i="39"/>
  <c r="F116" i="39"/>
  <c r="F115" i="39"/>
  <c r="F108" i="39"/>
  <c r="F104" i="39"/>
  <c r="F100" i="39"/>
  <c r="F88" i="39"/>
  <c r="F72" i="39"/>
  <c r="F64" i="39"/>
  <c r="F28" i="39"/>
  <c r="F27" i="39"/>
  <c r="F126" i="39"/>
  <c r="F83" i="39"/>
  <c r="F55" i="39"/>
  <c r="F51" i="39"/>
  <c r="F47" i="39"/>
  <c r="F94" i="39"/>
  <c r="F90" i="39"/>
  <c r="F89" i="39"/>
  <c r="F74" i="39"/>
  <c r="F73" i="39"/>
  <c r="F42" i="39"/>
  <c r="F38" i="39"/>
  <c r="F117" i="39"/>
  <c r="F109" i="39"/>
  <c r="F105" i="39"/>
  <c r="F101" i="39"/>
  <c r="F111" i="39"/>
  <c r="F110" i="39"/>
  <c r="F91" i="39"/>
  <c r="F67" i="39"/>
  <c r="F66" i="39"/>
  <c r="F59" i="39"/>
  <c r="F58" i="39"/>
  <c r="F43" i="39"/>
  <c r="F39" i="39"/>
  <c r="F118" i="39"/>
  <c r="F106" i="39"/>
  <c r="F102" i="39"/>
  <c r="F78" i="39"/>
  <c r="F77" i="39"/>
  <c r="F30" i="39"/>
  <c r="F97" i="39"/>
  <c r="F85" i="39"/>
  <c r="F69" i="39"/>
  <c r="F68" i="39"/>
  <c r="F61" i="39"/>
  <c r="F60" i="39"/>
  <c r="F53" i="39"/>
  <c r="F49" i="39"/>
  <c r="F120" i="39"/>
  <c r="F119" i="39"/>
  <c r="F112" i="39"/>
  <c r="F92" i="39"/>
  <c r="F80" i="39"/>
  <c r="F79" i="39"/>
  <c r="F44" i="39"/>
  <c r="F40" i="39"/>
  <c r="F36" i="39"/>
  <c r="F35" i="39"/>
  <c r="F107" i="39"/>
  <c r="F103" i="39"/>
  <c r="F99" i="39"/>
  <c r="F98" i="39"/>
  <c r="F87" i="39"/>
  <c r="F86" i="39"/>
  <c r="F124" i="39"/>
  <c r="F122" i="39"/>
  <c r="F93" i="39"/>
  <c r="F41" i="39"/>
  <c r="F37" i="39"/>
  <c r="F71" i="39"/>
  <c r="F56" i="39"/>
  <c r="F29" i="39"/>
  <c r="F130" i="39"/>
  <c r="F123" i="39"/>
  <c r="F96" i="39"/>
  <c r="F54" i="39"/>
  <c r="F52" i="39"/>
  <c r="F50" i="39"/>
  <c r="F48" i="39"/>
  <c r="F46" i="39"/>
  <c r="F113" i="39"/>
  <c r="F82" i="39"/>
  <c r="F76" i="39"/>
  <c r="F65" i="39"/>
  <c r="F63" i="39"/>
  <c r="F34" i="39"/>
  <c r="F57" i="39"/>
  <c r="F95" i="39"/>
  <c r="F84" i="39"/>
  <c r="F70" i="39"/>
  <c r="L12" i="39"/>
  <c r="F45" i="39"/>
  <c r="D32" i="39"/>
  <c r="F114" i="39"/>
  <c r="F81" i="39"/>
  <c r="F62" i="39"/>
  <c r="F32" i="39"/>
  <c r="F75" i="39"/>
  <c r="V166" i="30"/>
  <c r="V150" i="30"/>
  <c r="V158" i="30"/>
  <c r="V82" i="30"/>
  <c r="V86" i="30"/>
  <c r="V90" i="30"/>
  <c r="J94" i="30"/>
  <c r="J98" i="30"/>
  <c r="J104" i="30"/>
  <c r="J114" i="30"/>
  <c r="V118" i="30"/>
  <c r="J122" i="30"/>
  <c r="V126" i="30"/>
  <c r="V134" i="30"/>
  <c r="V156" i="30"/>
  <c r="Z157" i="30"/>
  <c r="J159" i="30"/>
  <c r="J167" i="30"/>
  <c r="X26" i="33"/>
  <c r="N33" i="33"/>
  <c r="L43" i="33"/>
  <c r="N43" i="33" s="1"/>
  <c r="J46" i="33"/>
  <c r="J49" i="33"/>
  <c r="J52" i="33"/>
  <c r="X54" i="33"/>
  <c r="Z54" i="33" s="1"/>
  <c r="Z60" i="33"/>
  <c r="H128" i="36"/>
  <c r="N79" i="36"/>
  <c r="X81" i="36"/>
  <c r="Z81" i="36" s="1"/>
  <c r="J62" i="33"/>
  <c r="Z31" i="36"/>
  <c r="X31" i="36"/>
  <c r="V54" i="36"/>
  <c r="X63" i="36"/>
  <c r="Z63" i="36" s="1"/>
  <c r="V112" i="36"/>
  <c r="V68" i="36"/>
  <c r="L75" i="36"/>
  <c r="N75" i="36" s="1"/>
  <c r="L19" i="48"/>
  <c r="N19" i="48" s="1"/>
  <c r="Z119" i="36"/>
  <c r="X32" i="33"/>
  <c r="Z32" i="33" s="1"/>
  <c r="N79" i="33"/>
  <c r="N30" i="36"/>
  <c r="N59" i="36"/>
  <c r="J75" i="33"/>
  <c r="J69" i="33"/>
  <c r="J63" i="33"/>
  <c r="J39" i="33"/>
  <c r="J88" i="33"/>
  <c r="J70" i="33"/>
  <c r="J76" i="33"/>
  <c r="J72" i="33"/>
  <c r="J64" i="33"/>
  <c r="J54" i="33"/>
  <c r="J40" i="33"/>
  <c r="J78" i="33"/>
  <c r="J79" i="33"/>
  <c r="J73" i="33"/>
  <c r="J57" i="33"/>
  <c r="J41" i="33"/>
  <c r="J37" i="33"/>
  <c r="J67" i="33"/>
  <c r="J59" i="33"/>
  <c r="J83" i="33"/>
  <c r="J82" i="33"/>
  <c r="J74" i="33"/>
  <c r="J60" i="33"/>
  <c r="J42" i="33"/>
  <c r="J38" i="33"/>
  <c r="J45" i="33"/>
  <c r="N71" i="33"/>
  <c r="J77" i="33"/>
  <c r="D12" i="36"/>
  <c r="N73" i="36"/>
  <c r="V80" i="36"/>
  <c r="N89" i="36"/>
  <c r="Z77" i="33"/>
  <c r="Z82" i="33"/>
  <c r="J84" i="33"/>
  <c r="Z73" i="36"/>
  <c r="Z89" i="36"/>
  <c r="X113" i="36"/>
  <c r="Z113" i="36" s="1"/>
  <c r="Z71" i="33"/>
  <c r="D82" i="33"/>
  <c r="L82" i="33" s="1"/>
  <c r="N82" i="33" s="1"/>
  <c r="L83" i="33"/>
  <c r="N83" i="33" s="1"/>
  <c r="V124" i="36"/>
  <c r="V114" i="36"/>
  <c r="V82" i="36"/>
  <c r="V70" i="36"/>
  <c r="V38" i="36"/>
  <c r="V34" i="36"/>
  <c r="V125" i="36"/>
  <c r="V93" i="36"/>
  <c r="V89" i="36"/>
  <c r="V73" i="36"/>
  <c r="V61" i="36"/>
  <c r="V53" i="36"/>
  <c r="V25" i="36"/>
  <c r="V126" i="36"/>
  <c r="V116" i="36"/>
  <c r="V108" i="36"/>
  <c r="V104" i="36"/>
  <c r="V100" i="36"/>
  <c r="V88" i="36"/>
  <c r="V72" i="36"/>
  <c r="V52" i="36"/>
  <c r="V48" i="36"/>
  <c r="V44" i="36"/>
  <c r="V95" i="36"/>
  <c r="V83" i="36"/>
  <c r="V75" i="36"/>
  <c r="V63" i="36"/>
  <c r="V55" i="36"/>
  <c r="V39" i="36"/>
  <c r="V35" i="36"/>
  <c r="V31" i="36"/>
  <c r="V110" i="36"/>
  <c r="V94" i="36"/>
  <c r="V90" i="36"/>
  <c r="V74" i="36"/>
  <c r="V117" i="36"/>
  <c r="V109" i="36"/>
  <c r="V105" i="36"/>
  <c r="V101" i="36"/>
  <c r="V77" i="36"/>
  <c r="V65" i="36"/>
  <c r="V57" i="36"/>
  <c r="V49" i="36"/>
  <c r="V45" i="36"/>
  <c r="T28" i="36"/>
  <c r="V130" i="36"/>
  <c r="V96" i="36"/>
  <c r="V84" i="36"/>
  <c r="V76" i="36"/>
  <c r="V64" i="36"/>
  <c r="V56" i="36"/>
  <c r="V40" i="36"/>
  <c r="V36" i="36"/>
  <c r="V32" i="36"/>
  <c r="V119" i="36"/>
  <c r="V111" i="36"/>
  <c r="V91" i="36"/>
  <c r="V79" i="36"/>
  <c r="V67" i="36"/>
  <c r="V59" i="36"/>
  <c r="V23" i="36"/>
  <c r="V118" i="36"/>
  <c r="V106" i="36"/>
  <c r="V102" i="36"/>
  <c r="V98" i="36"/>
  <c r="V86" i="36"/>
  <c r="V78" i="36"/>
  <c r="V66" i="36"/>
  <c r="V58" i="36"/>
  <c r="V50" i="36"/>
  <c r="V46" i="36"/>
  <c r="V42" i="36"/>
  <c r="Z12" i="36"/>
  <c r="V113" i="36"/>
  <c r="V97" i="36"/>
  <c r="V85" i="36"/>
  <c r="V81" i="36"/>
  <c r="V69" i="36"/>
  <c r="V41" i="36"/>
  <c r="V37" i="36"/>
  <c r="V33" i="36"/>
  <c r="V123" i="36"/>
  <c r="V115" i="36"/>
  <c r="V107" i="36"/>
  <c r="V103" i="36"/>
  <c r="V99" i="36"/>
  <c r="V87" i="36"/>
  <c r="V71" i="36"/>
  <c r="V51" i="36"/>
  <c r="V47" i="36"/>
  <c r="V43" i="36"/>
  <c r="V26" i="36"/>
  <c r="N67" i="36"/>
  <c r="Z69" i="36"/>
  <c r="X69" i="36"/>
  <c r="L66" i="39"/>
  <c r="N66" i="39" s="1"/>
  <c r="Z65" i="33"/>
  <c r="L31" i="36"/>
  <c r="N31" i="36" s="1"/>
  <c r="L63" i="36"/>
  <c r="N63" i="36" s="1"/>
  <c r="Z67" i="36"/>
  <c r="V122" i="36"/>
  <c r="J57" i="36"/>
  <c r="J65" i="36"/>
  <c r="J77" i="36"/>
  <c r="J91" i="36"/>
  <c r="J111" i="36"/>
  <c r="X124" i="36"/>
  <c r="Z124" i="36" s="1"/>
  <c r="J29" i="39"/>
  <c r="V109" i="39"/>
  <c r="V115" i="39"/>
  <c r="V123" i="39"/>
  <c r="F95" i="42"/>
  <c r="J31" i="36"/>
  <c r="J45" i="36"/>
  <c r="J49" i="36"/>
  <c r="J55" i="36"/>
  <c r="J63" i="36"/>
  <c r="J75" i="36"/>
  <c r="J95" i="36"/>
  <c r="J101" i="36"/>
  <c r="J105" i="36"/>
  <c r="J109" i="36"/>
  <c r="J117" i="36"/>
  <c r="J126" i="39"/>
  <c r="J89" i="39"/>
  <c r="J83" i="39"/>
  <c r="J73" i="39"/>
  <c r="J55" i="39"/>
  <c r="J51" i="39"/>
  <c r="J47" i="39"/>
  <c r="J94" i="39"/>
  <c r="J90" i="39"/>
  <c r="J74" i="39"/>
  <c r="J56" i="39"/>
  <c r="J42" i="39"/>
  <c r="J38" i="39"/>
  <c r="N12" i="39"/>
  <c r="J117" i="39"/>
  <c r="J109" i="39"/>
  <c r="J105" i="39"/>
  <c r="J101" i="39"/>
  <c r="J95" i="39"/>
  <c r="J75" i="39"/>
  <c r="J65" i="39"/>
  <c r="J57" i="39"/>
  <c r="J130" i="39"/>
  <c r="J110" i="39"/>
  <c r="J96" i="39"/>
  <c r="J84" i="39"/>
  <c r="J76" i="39"/>
  <c r="J118" i="39"/>
  <c r="J106" i="39"/>
  <c r="J102" i="39"/>
  <c r="J78" i="39"/>
  <c r="J68" i="39"/>
  <c r="J60" i="39"/>
  <c r="J30" i="39"/>
  <c r="J119" i="39"/>
  <c r="J97" i="39"/>
  <c r="J85" i="39"/>
  <c r="J79" i="39"/>
  <c r="J69" i="39"/>
  <c r="J61" i="39"/>
  <c r="J53" i="39"/>
  <c r="J49" i="39"/>
  <c r="J35" i="39"/>
  <c r="J120" i="39"/>
  <c r="J112" i="39"/>
  <c r="J98" i="39"/>
  <c r="J92" i="39"/>
  <c r="J86" i="39"/>
  <c r="J80" i="39"/>
  <c r="J70" i="39"/>
  <c r="J62" i="39"/>
  <c r="J44" i="39"/>
  <c r="J40" i="39"/>
  <c r="J36" i="39"/>
  <c r="J34" i="39"/>
  <c r="J113" i="39"/>
  <c r="J107" i="39"/>
  <c r="J103" i="39"/>
  <c r="J99" i="39"/>
  <c r="J87" i="39"/>
  <c r="J81" i="39"/>
  <c r="J71" i="39"/>
  <c r="J63" i="39"/>
  <c r="J45" i="39"/>
  <c r="J123" i="39"/>
  <c r="J122" i="39"/>
  <c r="J114" i="39"/>
  <c r="J82" i="39"/>
  <c r="J125" i="39"/>
  <c r="J116" i="39"/>
  <c r="J108" i="39"/>
  <c r="J104" i="39"/>
  <c r="J100" i="39"/>
  <c r="J88" i="39"/>
  <c r="J72" i="39"/>
  <c r="J64" i="39"/>
  <c r="J28" i="39"/>
  <c r="H32" i="39"/>
  <c r="J32" i="39" s="1"/>
  <c r="J37" i="39"/>
  <c r="J39" i="39"/>
  <c r="J43" i="39"/>
  <c r="X58" i="39"/>
  <c r="Z58" i="39" s="1"/>
  <c r="J66" i="39"/>
  <c r="V71" i="39"/>
  <c r="V99" i="39"/>
  <c r="V107" i="39"/>
  <c r="N29" i="42"/>
  <c r="F59" i="42"/>
  <c r="J26" i="36"/>
  <c r="J54" i="36"/>
  <c r="J62" i="36"/>
  <c r="J74" i="36"/>
  <c r="J90" i="36"/>
  <c r="J94" i="36"/>
  <c r="J128" i="36"/>
  <c r="V29" i="39"/>
  <c r="N45" i="39"/>
  <c r="Z56" i="39"/>
  <c r="V58" i="39"/>
  <c r="F51" i="42"/>
  <c r="J35" i="36"/>
  <c r="J39" i="36"/>
  <c r="J53" i="36"/>
  <c r="J73" i="36"/>
  <c r="J83" i="36"/>
  <c r="J89" i="36"/>
  <c r="J126" i="36"/>
  <c r="V119" i="39"/>
  <c r="V111" i="39"/>
  <c r="V91" i="39"/>
  <c r="V79" i="39"/>
  <c r="V67" i="39"/>
  <c r="V59" i="39"/>
  <c r="V43" i="39"/>
  <c r="V39" i="39"/>
  <c r="V35" i="39"/>
  <c r="V118" i="39"/>
  <c r="V106" i="39"/>
  <c r="V102" i="39"/>
  <c r="V98" i="39"/>
  <c r="V86" i="39"/>
  <c r="V78" i="39"/>
  <c r="V70" i="39"/>
  <c r="V62" i="39"/>
  <c r="V34" i="39"/>
  <c r="V30" i="39"/>
  <c r="V113" i="39"/>
  <c r="V97" i="39"/>
  <c r="V85" i="39"/>
  <c r="V81" i="39"/>
  <c r="V69" i="39"/>
  <c r="V61" i="39"/>
  <c r="V53" i="39"/>
  <c r="V49" i="39"/>
  <c r="V45" i="39"/>
  <c r="V122" i="39"/>
  <c r="V120" i="39"/>
  <c r="V112" i="39"/>
  <c r="V92" i="39"/>
  <c r="V80" i="39"/>
  <c r="V124" i="39"/>
  <c r="V114" i="39"/>
  <c r="V82" i="39"/>
  <c r="V54" i="39"/>
  <c r="V50" i="39"/>
  <c r="V46" i="39"/>
  <c r="V125" i="39"/>
  <c r="V93" i="39"/>
  <c r="V89" i="39"/>
  <c r="V73" i="39"/>
  <c r="V41" i="39"/>
  <c r="V37" i="39"/>
  <c r="V126" i="39"/>
  <c r="V116" i="39"/>
  <c r="V108" i="39"/>
  <c r="V104" i="39"/>
  <c r="V100" i="39"/>
  <c r="V88" i="39"/>
  <c r="V72" i="39"/>
  <c r="V64" i="39"/>
  <c r="V56" i="39"/>
  <c r="V28" i="39"/>
  <c r="V95" i="39"/>
  <c r="V83" i="39"/>
  <c r="V75" i="39"/>
  <c r="V55" i="39"/>
  <c r="V51" i="39"/>
  <c r="V47" i="39"/>
  <c r="V110" i="39"/>
  <c r="V94" i="39"/>
  <c r="V90" i="39"/>
  <c r="V74" i="39"/>
  <c r="V130" i="39"/>
  <c r="V96" i="39"/>
  <c r="V84" i="39"/>
  <c r="V76" i="39"/>
  <c r="V68" i="39"/>
  <c r="V60" i="39"/>
  <c r="V52" i="39"/>
  <c r="V48" i="39"/>
  <c r="Z66" i="39"/>
  <c r="X66" i="39"/>
  <c r="J93" i="39"/>
  <c r="L110" i="39"/>
  <c r="N110" i="39" s="1"/>
  <c r="J124" i="39"/>
  <c r="F71" i="42"/>
  <c r="J44" i="36"/>
  <c r="J48" i="36"/>
  <c r="J52" i="36"/>
  <c r="J72" i="36"/>
  <c r="J88" i="36"/>
  <c r="J100" i="36"/>
  <c r="J104" i="36"/>
  <c r="J108" i="36"/>
  <c r="J116" i="36"/>
  <c r="J125" i="36"/>
  <c r="T32" i="39"/>
  <c r="J59" i="39"/>
  <c r="V66" i="39"/>
  <c r="V77" i="39"/>
  <c r="Z81" i="39"/>
  <c r="J91" i="39"/>
  <c r="N95" i="39"/>
  <c r="J25" i="36"/>
  <c r="J61" i="36"/>
  <c r="J71" i="36"/>
  <c r="J93" i="36"/>
  <c r="J115" i="36"/>
  <c r="J124" i="36"/>
  <c r="Z45" i="39"/>
  <c r="V103" i="39"/>
  <c r="Z110" i="39"/>
  <c r="N122" i="39"/>
  <c r="X122" i="39"/>
  <c r="Z122" i="39" s="1"/>
  <c r="P12" i="42"/>
  <c r="T125" i="42"/>
  <c r="T109" i="45"/>
  <c r="J114" i="36"/>
  <c r="J122" i="36"/>
  <c r="J123" i="36"/>
  <c r="J43" i="36"/>
  <c r="J47" i="36"/>
  <c r="J51" i="36"/>
  <c r="J69" i="36"/>
  <c r="J81" i="36"/>
  <c r="J87" i="36"/>
  <c r="J99" i="36"/>
  <c r="J103" i="36"/>
  <c r="J107" i="36"/>
  <c r="J113" i="36"/>
  <c r="J27" i="39"/>
  <c r="V87" i="39"/>
  <c r="J111" i="39"/>
  <c r="J115" i="39"/>
  <c r="F117" i="42"/>
  <c r="F115" i="42"/>
  <c r="F123" i="42"/>
  <c r="F104" i="42"/>
  <c r="F103" i="42"/>
  <c r="F116" i="42"/>
  <c r="F107" i="42"/>
  <c r="F106" i="42"/>
  <c r="F85" i="42"/>
  <c r="F73" i="42"/>
  <c r="F72" i="42"/>
  <c r="F61" i="42"/>
  <c r="F60" i="42"/>
  <c r="F53" i="42"/>
  <c r="F52" i="42"/>
  <c r="F37" i="42"/>
  <c r="F33" i="42"/>
  <c r="F111" i="42"/>
  <c r="F92" i="42"/>
  <c r="F91" i="42"/>
  <c r="F80" i="42"/>
  <c r="F79" i="42"/>
  <c r="F24" i="42"/>
  <c r="F108" i="42"/>
  <c r="F99" i="42"/>
  <c r="F96" i="42"/>
  <c r="F75" i="42"/>
  <c r="F74" i="42"/>
  <c r="F63" i="42"/>
  <c r="F62" i="42"/>
  <c r="F55" i="42"/>
  <c r="F54" i="42"/>
  <c r="F47" i="42"/>
  <c r="F43" i="42"/>
  <c r="F86" i="42"/>
  <c r="F38" i="42"/>
  <c r="F34" i="42"/>
  <c r="F30" i="42"/>
  <c r="F29" i="42"/>
  <c r="L12" i="42"/>
  <c r="N12" i="42" s="1"/>
  <c r="F119" i="42"/>
  <c r="F112" i="42"/>
  <c r="F109" i="42"/>
  <c r="F105" i="42"/>
  <c r="F102" i="42"/>
  <c r="F93" i="42"/>
  <c r="F81" i="42"/>
  <c r="F65" i="42"/>
  <c r="F64" i="42"/>
  <c r="F57" i="42"/>
  <c r="F56" i="42"/>
  <c r="F28" i="42"/>
  <c r="F76" i="42"/>
  <c r="F48" i="42"/>
  <c r="F44" i="42"/>
  <c r="F40" i="42"/>
  <c r="F39" i="42"/>
  <c r="D26" i="42"/>
  <c r="F26" i="42" s="1"/>
  <c r="F100" i="42"/>
  <c r="F97" i="42"/>
  <c r="F87" i="42"/>
  <c r="F83" i="42"/>
  <c r="F82" i="42"/>
  <c r="F67" i="42"/>
  <c r="F66" i="42"/>
  <c r="F35" i="42"/>
  <c r="F31" i="42"/>
  <c r="F94" i="42"/>
  <c r="F58" i="42"/>
  <c r="F22" i="42"/>
  <c r="F21" i="42"/>
  <c r="F113" i="42"/>
  <c r="F110" i="42"/>
  <c r="F89" i="42"/>
  <c r="F88" i="42"/>
  <c r="F77" i="42"/>
  <c r="F69" i="42"/>
  <c r="F68" i="42"/>
  <c r="F49" i="42"/>
  <c r="F45" i="42"/>
  <c r="F41" i="42"/>
  <c r="F84" i="42"/>
  <c r="F36" i="42"/>
  <c r="F32" i="42"/>
  <c r="F118" i="42"/>
  <c r="F101" i="42"/>
  <c r="F90" i="42"/>
  <c r="F78" i="42"/>
  <c r="F46" i="42"/>
  <c r="F42" i="42"/>
  <c r="N28" i="42"/>
  <c r="J24" i="36"/>
  <c r="J42" i="36"/>
  <c r="J60" i="36"/>
  <c r="J68" i="36"/>
  <c r="L69" i="36"/>
  <c r="X75" i="36"/>
  <c r="Z75" i="36" s="1"/>
  <c r="J80" i="36"/>
  <c r="L81" i="36"/>
  <c r="N81" i="36" s="1"/>
  <c r="J86" i="36"/>
  <c r="J92" i="36"/>
  <c r="X95" i="36"/>
  <c r="Z95" i="36" s="1"/>
  <c r="J98" i="36"/>
  <c r="J112" i="36"/>
  <c r="L113" i="36"/>
  <c r="N113" i="36" s="1"/>
  <c r="J120" i="36"/>
  <c r="P12" i="39"/>
  <c r="J46" i="39"/>
  <c r="J48" i="39"/>
  <c r="J50" i="39"/>
  <c r="V65" i="39"/>
  <c r="J23" i="36"/>
  <c r="J33" i="36"/>
  <c r="J37" i="36"/>
  <c r="J41" i="36"/>
  <c r="J59" i="36"/>
  <c r="J67" i="36"/>
  <c r="J79" i="36"/>
  <c r="J85" i="36"/>
  <c r="L86" i="36"/>
  <c r="J97" i="36"/>
  <c r="L98" i="36"/>
  <c r="N98" i="36" s="1"/>
  <c r="J119" i="36"/>
  <c r="X13" i="39"/>
  <c r="Z13" i="39" s="1"/>
  <c r="V38" i="39"/>
  <c r="V40" i="39"/>
  <c r="V42" i="39"/>
  <c r="V44" i="39"/>
  <c r="J52" i="39"/>
  <c r="J54" i="39"/>
  <c r="V63" i="39"/>
  <c r="V101" i="39"/>
  <c r="V117" i="39"/>
  <c r="F50" i="42"/>
  <c r="J46" i="36"/>
  <c r="J50" i="36"/>
  <c r="J58" i="36"/>
  <c r="J66" i="36"/>
  <c r="J78" i="36"/>
  <c r="J102" i="36"/>
  <c r="J106" i="36"/>
  <c r="J118" i="36"/>
  <c r="Z34" i="39"/>
  <c r="V36" i="39"/>
  <c r="N58" i="39"/>
  <c r="L58" i="39"/>
  <c r="Z113" i="39"/>
  <c r="X39" i="42"/>
  <c r="Z39" i="42" s="1"/>
  <c r="V39" i="42"/>
  <c r="F70" i="42"/>
  <c r="D12" i="45"/>
  <c r="L13" i="45"/>
  <c r="J33" i="42"/>
  <c r="J37" i="42"/>
  <c r="J53" i="42"/>
  <c r="V57" i="42"/>
  <c r="J61" i="42"/>
  <c r="V65" i="42"/>
  <c r="J73" i="42"/>
  <c r="J79" i="42"/>
  <c r="V81" i="42"/>
  <c r="J85" i="42"/>
  <c r="J91" i="42"/>
  <c r="V93" i="42"/>
  <c r="V119" i="42"/>
  <c r="L18" i="45"/>
  <c r="N18" i="45" s="1"/>
  <c r="J18" i="45"/>
  <c r="V38" i="45"/>
  <c r="N52" i="45"/>
  <c r="L94" i="45"/>
  <c r="N94" i="45" s="1"/>
  <c r="N92" i="51"/>
  <c r="L92" i="51"/>
  <c r="J23" i="42"/>
  <c r="J51" i="42"/>
  <c r="J59" i="42"/>
  <c r="J71" i="42"/>
  <c r="V75" i="42"/>
  <c r="J98" i="42"/>
  <c r="V111" i="42"/>
  <c r="P115" i="42"/>
  <c r="X115" i="42" s="1"/>
  <c r="Z115" i="42" s="1"/>
  <c r="N58" i="45"/>
  <c r="N60" i="45"/>
  <c r="L60" i="45"/>
  <c r="J60" i="45"/>
  <c r="X94" i="45"/>
  <c r="Z94" i="45" s="1"/>
  <c r="V63" i="48"/>
  <c r="V47" i="48"/>
  <c r="V77" i="48"/>
  <c r="V66" i="48"/>
  <c r="V50" i="48"/>
  <c r="V69" i="48"/>
  <c r="V53" i="48"/>
  <c r="V68" i="48"/>
  <c r="V64" i="48"/>
  <c r="V56" i="48"/>
  <c r="V42" i="48"/>
  <c r="V73" i="48"/>
  <c r="V67" i="48"/>
  <c r="V41" i="48"/>
  <c r="V37" i="48"/>
  <c r="V33" i="48"/>
  <c r="V60" i="48"/>
  <c r="V44" i="48"/>
  <c r="V28" i="48"/>
  <c r="V24" i="48"/>
  <c r="V20" i="48"/>
  <c r="V43" i="48"/>
  <c r="V19" i="48"/>
  <c r="V17" i="48"/>
  <c r="V15" i="48"/>
  <c r="V58" i="48"/>
  <c r="V55" i="48"/>
  <c r="V54" i="48"/>
  <c r="V51" i="48"/>
  <c r="V46" i="48"/>
  <c r="V38" i="48"/>
  <c r="V34" i="48"/>
  <c r="T17" i="48"/>
  <c r="V45" i="48"/>
  <c r="V29" i="48"/>
  <c r="V25" i="48"/>
  <c r="V21" i="48"/>
  <c r="V70" i="48"/>
  <c r="V65" i="48"/>
  <c r="V61" i="48"/>
  <c r="V62" i="48"/>
  <c r="V39" i="48"/>
  <c r="V35" i="48"/>
  <c r="V31" i="48"/>
  <c r="V48" i="48"/>
  <c r="V30" i="48"/>
  <c r="V26" i="48"/>
  <c r="V22" i="48"/>
  <c r="Z12" i="48"/>
  <c r="V59" i="48"/>
  <c r="V52" i="48"/>
  <c r="V57" i="48"/>
  <c r="V49" i="48"/>
  <c r="V27" i="48"/>
  <c r="V23" i="48"/>
  <c r="N20" i="54"/>
  <c r="L20" i="54"/>
  <c r="N17" i="57"/>
  <c r="H74" i="57"/>
  <c r="L123" i="39"/>
  <c r="N123" i="39" s="1"/>
  <c r="V24" i="42"/>
  <c r="V26" i="42"/>
  <c r="V28" i="42"/>
  <c r="J32" i="42"/>
  <c r="J36" i="42"/>
  <c r="J50" i="42"/>
  <c r="V56" i="42"/>
  <c r="V64" i="42"/>
  <c r="J70" i="42"/>
  <c r="V80" i="42"/>
  <c r="J84" i="42"/>
  <c r="V92" i="42"/>
  <c r="P12" i="45"/>
  <c r="X15" i="45"/>
  <c r="X54" i="45"/>
  <c r="Z54" i="45" s="1"/>
  <c r="Z62" i="45"/>
  <c r="V36" i="48"/>
  <c r="X75" i="39"/>
  <c r="Z75" i="39" s="1"/>
  <c r="X95" i="39"/>
  <c r="Z95" i="39" s="1"/>
  <c r="X28" i="42"/>
  <c r="Z28" i="42" s="1"/>
  <c r="J41" i="42"/>
  <c r="J45" i="42"/>
  <c r="J49" i="42"/>
  <c r="L50" i="42"/>
  <c r="N50" i="42" s="1"/>
  <c r="X56" i="42"/>
  <c r="Z56" i="42" s="1"/>
  <c r="V61" i="42"/>
  <c r="X64" i="42"/>
  <c r="J69" i="42"/>
  <c r="L70" i="42"/>
  <c r="N70" i="42" s="1"/>
  <c r="V73" i="42"/>
  <c r="J77" i="42"/>
  <c r="V85" i="42"/>
  <c r="J89" i="42"/>
  <c r="V101" i="42"/>
  <c r="J103" i="42"/>
  <c r="V104" i="42"/>
  <c r="J106" i="42"/>
  <c r="J110" i="42"/>
  <c r="J113" i="42"/>
  <c r="V115" i="42"/>
  <c r="V118" i="42"/>
  <c r="Z60" i="45"/>
  <c r="X60" i="45"/>
  <c r="T80" i="56"/>
  <c r="Z17" i="56"/>
  <c r="X50" i="56"/>
  <c r="Z50" i="56" s="1"/>
  <c r="J22" i="42"/>
  <c r="V42" i="42"/>
  <c r="V46" i="42"/>
  <c r="V54" i="42"/>
  <c r="J58" i="42"/>
  <c r="V62" i="42"/>
  <c r="J68" i="42"/>
  <c r="V74" i="42"/>
  <c r="V78" i="42"/>
  <c r="J88" i="42"/>
  <c r="V90" i="42"/>
  <c r="J94" i="42"/>
  <c r="V95" i="42"/>
  <c r="V98" i="42"/>
  <c r="L106" i="42"/>
  <c r="L117" i="42"/>
  <c r="N117" i="42" s="1"/>
  <c r="X18" i="45"/>
  <c r="Z18" i="45" s="1"/>
  <c r="H23" i="45"/>
  <c r="V43" i="45"/>
  <c r="V58" i="45"/>
  <c r="V65" i="45"/>
  <c r="R57" i="48"/>
  <c r="R56" i="48"/>
  <c r="R59" i="48"/>
  <c r="R67" i="48"/>
  <c r="R66" i="48"/>
  <c r="R51" i="48"/>
  <c r="R73" i="48"/>
  <c r="R72" i="48"/>
  <c r="R62" i="48"/>
  <c r="R61" i="48"/>
  <c r="R63" i="48"/>
  <c r="R49" i="48"/>
  <c r="R27" i="48"/>
  <c r="R23" i="48"/>
  <c r="R69" i="48"/>
  <c r="R53" i="48"/>
  <c r="R64" i="48"/>
  <c r="R42" i="48"/>
  <c r="R41" i="48"/>
  <c r="R37" i="48"/>
  <c r="R33" i="48"/>
  <c r="R77" i="48"/>
  <c r="R60" i="48"/>
  <c r="R50" i="48"/>
  <c r="R28" i="48"/>
  <c r="R24" i="48"/>
  <c r="R44" i="48"/>
  <c r="R43" i="48"/>
  <c r="R20" i="48"/>
  <c r="R58" i="48"/>
  <c r="R54" i="48"/>
  <c r="R38" i="48"/>
  <c r="R34" i="48"/>
  <c r="R19" i="48"/>
  <c r="R15" i="48"/>
  <c r="R55" i="48"/>
  <c r="R46" i="48"/>
  <c r="R45" i="48"/>
  <c r="R29" i="48"/>
  <c r="R25" i="48"/>
  <c r="R21" i="48"/>
  <c r="P17" i="48"/>
  <c r="R17" i="48" s="1"/>
  <c r="R70" i="48"/>
  <c r="R65" i="48"/>
  <c r="R68" i="48"/>
  <c r="R47" i="48"/>
  <c r="R39" i="48"/>
  <c r="R35" i="48"/>
  <c r="R31" i="48"/>
  <c r="R30" i="48"/>
  <c r="R26" i="48"/>
  <c r="R22" i="48"/>
  <c r="X12" i="48"/>
  <c r="R40" i="48"/>
  <c r="R36" i="48"/>
  <c r="R32" i="48"/>
  <c r="N31" i="48"/>
  <c r="N48" i="48"/>
  <c r="J21" i="42"/>
  <c r="J31" i="42"/>
  <c r="J35" i="42"/>
  <c r="V51" i="42"/>
  <c r="V59" i="42"/>
  <c r="J67" i="42"/>
  <c r="V71" i="42"/>
  <c r="V79" i="42"/>
  <c r="J83" i="42"/>
  <c r="J87" i="42"/>
  <c r="V91" i="42"/>
  <c r="J97" i="42"/>
  <c r="L112" i="42"/>
  <c r="V113" i="42"/>
  <c r="J118" i="42"/>
  <c r="J109" i="42"/>
  <c r="J101" i="42"/>
  <c r="J104" i="42"/>
  <c r="J111" i="42"/>
  <c r="J99" i="42"/>
  <c r="J95" i="42"/>
  <c r="J117" i="42"/>
  <c r="J108" i="42"/>
  <c r="J40" i="42"/>
  <c r="J44" i="42"/>
  <c r="J48" i="42"/>
  <c r="J66" i="42"/>
  <c r="J76" i="42"/>
  <c r="J82" i="42"/>
  <c r="H26" i="42"/>
  <c r="J26" i="42" s="1"/>
  <c r="J39" i="42"/>
  <c r="J57" i="42"/>
  <c r="J65" i="42"/>
  <c r="V77" i="42"/>
  <c r="J81" i="42"/>
  <c r="V89" i="42"/>
  <c r="J93" i="42"/>
  <c r="J102" i="42"/>
  <c r="J105" i="42"/>
  <c r="N112" i="42"/>
  <c r="J119" i="42"/>
  <c r="N78" i="45"/>
  <c r="L78" i="45"/>
  <c r="N15" i="48"/>
  <c r="L15" i="48"/>
  <c r="J28" i="42"/>
  <c r="J30" i="42"/>
  <c r="J34" i="42"/>
  <c r="J38" i="42"/>
  <c r="L39" i="42"/>
  <c r="N39" i="42" s="1"/>
  <c r="V50" i="42"/>
  <c r="J56" i="42"/>
  <c r="V58" i="42"/>
  <c r="J64" i="42"/>
  <c r="V70" i="42"/>
  <c r="J86" i="42"/>
  <c r="V94" i="42"/>
  <c r="V103" i="42"/>
  <c r="V106" i="42"/>
  <c r="J112" i="42"/>
  <c r="J116" i="42"/>
  <c r="V121" i="42"/>
  <c r="N48" i="45"/>
  <c r="L48" i="45"/>
  <c r="N66" i="45"/>
  <c r="L66" i="45"/>
  <c r="Z14" i="55"/>
  <c r="X14" i="55"/>
  <c r="T16" i="55"/>
  <c r="J29" i="42"/>
  <c r="V31" i="42"/>
  <c r="V35" i="42"/>
  <c r="J43" i="42"/>
  <c r="J47" i="42"/>
  <c r="X50" i="42"/>
  <c r="Z50" i="42" s="1"/>
  <c r="J55" i="42"/>
  <c r="L56" i="42"/>
  <c r="N56" i="42" s="1"/>
  <c r="J63" i="42"/>
  <c r="L64" i="42"/>
  <c r="V67" i="42"/>
  <c r="X70" i="42"/>
  <c r="Z70" i="42" s="1"/>
  <c r="J75" i="42"/>
  <c r="V83" i="42"/>
  <c r="V87" i="42"/>
  <c r="J96" i="42"/>
  <c r="V97" i="42"/>
  <c r="X106" i="42"/>
  <c r="X112" i="42"/>
  <c r="Z112" i="42" s="1"/>
  <c r="J48" i="45"/>
  <c r="Z78" i="45"/>
  <c r="X78" i="45"/>
  <c r="V32" i="48"/>
  <c r="V40" i="48"/>
  <c r="V72" i="48"/>
  <c r="R106" i="51"/>
  <c r="R96" i="51"/>
  <c r="R89" i="51"/>
  <c r="R88" i="51"/>
  <c r="R44" i="51"/>
  <c r="R40" i="51"/>
  <c r="R36" i="51"/>
  <c r="R80" i="51"/>
  <c r="R79" i="51"/>
  <c r="R71" i="51"/>
  <c r="R67" i="51"/>
  <c r="R90" i="51"/>
  <c r="R63" i="51"/>
  <c r="R62" i="51"/>
  <c r="R58" i="51"/>
  <c r="R54" i="51"/>
  <c r="X12" i="51"/>
  <c r="Z12" i="51" s="1"/>
  <c r="R97" i="51"/>
  <c r="R82" i="51"/>
  <c r="R81" i="51"/>
  <c r="R45" i="51"/>
  <c r="R41" i="51"/>
  <c r="R37" i="51"/>
  <c r="R92" i="51"/>
  <c r="R91" i="51"/>
  <c r="R83" i="51"/>
  <c r="R59" i="51"/>
  <c r="R55" i="51"/>
  <c r="R99" i="51"/>
  <c r="R98" i="51"/>
  <c r="R46" i="51"/>
  <c r="R42" i="51"/>
  <c r="R38" i="51"/>
  <c r="R34" i="51"/>
  <c r="R94" i="51"/>
  <c r="R93" i="51"/>
  <c r="R74" i="51"/>
  <c r="R73" i="51"/>
  <c r="R69" i="51"/>
  <c r="R65" i="51"/>
  <c r="R101" i="51"/>
  <c r="R100" i="51"/>
  <c r="R85" i="51"/>
  <c r="R84" i="51"/>
  <c r="R60" i="51"/>
  <c r="R56" i="51"/>
  <c r="R95" i="51"/>
  <c r="R76" i="51"/>
  <c r="R75" i="51"/>
  <c r="R52" i="51"/>
  <c r="R47" i="51"/>
  <c r="R43" i="51"/>
  <c r="R39" i="51"/>
  <c r="R35" i="51"/>
  <c r="R105" i="51"/>
  <c r="R104" i="51"/>
  <c r="R78" i="51"/>
  <c r="R77" i="51"/>
  <c r="R61" i="51"/>
  <c r="R57" i="51"/>
  <c r="R53" i="51"/>
  <c r="P49" i="51"/>
  <c r="R87" i="51"/>
  <c r="R70" i="51"/>
  <c r="R68" i="51"/>
  <c r="R66" i="51"/>
  <c r="R64" i="51"/>
  <c r="R72" i="51"/>
  <c r="R110" i="51"/>
  <c r="R102" i="51"/>
  <c r="R51" i="51"/>
  <c r="R86" i="51"/>
  <c r="R49" i="51"/>
  <c r="V125" i="42"/>
  <c r="V123" i="42"/>
  <c r="V116" i="42"/>
  <c r="V108" i="42"/>
  <c r="V100" i="42"/>
  <c r="V117" i="42"/>
  <c r="V107" i="42"/>
  <c r="V110" i="42"/>
  <c r="V102" i="42"/>
  <c r="J24" i="42"/>
  <c r="V40" i="42"/>
  <c r="V44" i="42"/>
  <c r="V48" i="42"/>
  <c r="J54" i="42"/>
  <c r="J62" i="42"/>
  <c r="V68" i="42"/>
  <c r="J74" i="42"/>
  <c r="V76" i="42"/>
  <c r="J80" i="42"/>
  <c r="V88" i="42"/>
  <c r="J92" i="42"/>
  <c r="V109" i="42"/>
  <c r="J115" i="42"/>
  <c r="J123" i="42"/>
  <c r="V95" i="45"/>
  <c r="V79" i="45"/>
  <c r="V67" i="45"/>
  <c r="V55" i="45"/>
  <c r="V19" i="45"/>
  <c r="V74" i="45"/>
  <c r="V97" i="45"/>
  <c r="V89" i="45"/>
  <c r="V85" i="45"/>
  <c r="V81" i="45"/>
  <c r="V69" i="45"/>
  <c r="V57" i="45"/>
  <c r="V33" i="45"/>
  <c r="V29" i="45"/>
  <c r="V60" i="45"/>
  <c r="V48" i="45"/>
  <c r="V20" i="45"/>
  <c r="V102" i="45"/>
  <c r="V100" i="45"/>
  <c r="V98" i="45"/>
  <c r="V90" i="45"/>
  <c r="V86" i="45"/>
  <c r="V82" i="45"/>
  <c r="V70" i="45"/>
  <c r="V62" i="45"/>
  <c r="V50" i="45"/>
  <c r="V34" i="45"/>
  <c r="V30" i="45"/>
  <c r="V26" i="45"/>
  <c r="V61" i="45"/>
  <c r="V49" i="45"/>
  <c r="V25" i="45"/>
  <c r="V23" i="45"/>
  <c r="V21" i="45"/>
  <c r="V92" i="45"/>
  <c r="V76" i="45"/>
  <c r="V64" i="45"/>
  <c r="V52" i="45"/>
  <c r="V44" i="45"/>
  <c r="V40" i="45"/>
  <c r="V87" i="45"/>
  <c r="V83" i="45"/>
  <c r="V71" i="45"/>
  <c r="V63" i="45"/>
  <c r="V51" i="45"/>
  <c r="V35" i="45"/>
  <c r="V109" i="45"/>
  <c r="V106" i="45"/>
  <c r="V104" i="45"/>
  <c r="V94" i="45"/>
  <c r="V78" i="45"/>
  <c r="V66" i="45"/>
  <c r="V96" i="45"/>
  <c r="V88" i="45"/>
  <c r="V84" i="45"/>
  <c r="V80" i="45"/>
  <c r="V72" i="45"/>
  <c r="V68" i="45"/>
  <c r="V56" i="45"/>
  <c r="V36" i="45"/>
  <c r="V32" i="45"/>
  <c r="V28" i="45"/>
  <c r="L25" i="45"/>
  <c r="N25" i="45" s="1"/>
  <c r="N64" i="45"/>
  <c r="X66" i="45"/>
  <c r="Z66" i="45" s="1"/>
  <c r="H17" i="48"/>
  <c r="L55" i="48"/>
  <c r="N55" i="48" s="1"/>
  <c r="J26" i="45"/>
  <c r="J40" i="45"/>
  <c r="J44" i="45"/>
  <c r="J50" i="45"/>
  <c r="J62" i="45"/>
  <c r="J76" i="45"/>
  <c r="J92" i="45"/>
  <c r="J100" i="45"/>
  <c r="F15" i="48"/>
  <c r="F19" i="48"/>
  <c r="J35" i="48"/>
  <c r="J39" i="48"/>
  <c r="J47" i="48"/>
  <c r="F55" i="48"/>
  <c r="J59" i="48"/>
  <c r="Z72" i="48"/>
  <c r="N52" i="51"/>
  <c r="Z104" i="51"/>
  <c r="N41" i="56"/>
  <c r="L41" i="56"/>
  <c r="J82" i="45"/>
  <c r="J86" i="45"/>
  <c r="J90" i="45"/>
  <c r="J98" i="45"/>
  <c r="J15" i="48"/>
  <c r="J17" i="48"/>
  <c r="J19" i="48"/>
  <c r="J21" i="48"/>
  <c r="J25" i="48"/>
  <c r="J29" i="48"/>
  <c r="F34" i="48"/>
  <c r="F38" i="48"/>
  <c r="J45" i="48"/>
  <c r="J51" i="48"/>
  <c r="F54" i="48"/>
  <c r="J55" i="48"/>
  <c r="J61" i="48"/>
  <c r="J70" i="48"/>
  <c r="Z52" i="51"/>
  <c r="N16" i="55"/>
  <c r="H33" i="55"/>
  <c r="N19" i="56"/>
  <c r="J75" i="45"/>
  <c r="J20" i="48"/>
  <c r="J34" i="48"/>
  <c r="J38" i="48"/>
  <c r="J44" i="48"/>
  <c r="J54" i="48"/>
  <c r="Z92" i="51"/>
  <c r="X92" i="51"/>
  <c r="N14" i="54"/>
  <c r="L14" i="54"/>
  <c r="Z20" i="54"/>
  <c r="X20" i="54"/>
  <c r="J58" i="45"/>
  <c r="J43" i="48"/>
  <c r="F64" i="48"/>
  <c r="Z19" i="56"/>
  <c r="X19" i="56"/>
  <c r="J29" i="45"/>
  <c r="J33" i="45"/>
  <c r="J57" i="45"/>
  <c r="J69" i="45"/>
  <c r="J81" i="45"/>
  <c r="J85" i="45"/>
  <c r="J89" i="45"/>
  <c r="J97" i="45"/>
  <c r="J24" i="48"/>
  <c r="J28" i="48"/>
  <c r="F33" i="48"/>
  <c r="F37" i="48"/>
  <c r="F41" i="48"/>
  <c r="J42" i="48"/>
  <c r="J50" i="48"/>
  <c r="L53" i="48"/>
  <c r="N53" i="48" s="1"/>
  <c r="X62" i="48"/>
  <c r="Z62" i="48" s="1"/>
  <c r="J67" i="48"/>
  <c r="F73" i="48"/>
  <c r="Z14" i="54"/>
  <c r="X14" i="54"/>
  <c r="T22" i="54"/>
  <c r="Z28" i="54"/>
  <c r="R71" i="56"/>
  <c r="R70" i="56"/>
  <c r="R46" i="56"/>
  <c r="R58" i="56"/>
  <c r="R57" i="56"/>
  <c r="R73" i="56"/>
  <c r="R72" i="56"/>
  <c r="R65" i="56"/>
  <c r="R64" i="56"/>
  <c r="R59" i="56"/>
  <c r="R76" i="56"/>
  <c r="R68" i="56"/>
  <c r="R60" i="56"/>
  <c r="R69" i="56"/>
  <c r="R67" i="56"/>
  <c r="R30" i="56"/>
  <c r="R29" i="56"/>
  <c r="R25" i="56"/>
  <c r="R21" i="56"/>
  <c r="P17" i="56"/>
  <c r="R74" i="56"/>
  <c r="R62" i="56"/>
  <c r="R39" i="56"/>
  <c r="R35" i="56"/>
  <c r="R31" i="56"/>
  <c r="R82" i="56"/>
  <c r="R78" i="56"/>
  <c r="R54" i="56"/>
  <c r="R51" i="56"/>
  <c r="R26" i="56"/>
  <c r="R22" i="56"/>
  <c r="X12" i="56"/>
  <c r="R47" i="56"/>
  <c r="R87" i="56"/>
  <c r="R75" i="56"/>
  <c r="R52" i="56"/>
  <c r="R41" i="56"/>
  <c r="R40" i="56"/>
  <c r="R36" i="56"/>
  <c r="R32" i="56"/>
  <c r="R63" i="56"/>
  <c r="R48" i="56"/>
  <c r="R27" i="56"/>
  <c r="R23" i="56"/>
  <c r="R55" i="56"/>
  <c r="R43" i="56"/>
  <c r="R42" i="56"/>
  <c r="R80" i="56"/>
  <c r="R66" i="56"/>
  <c r="R61" i="56"/>
  <c r="R37" i="56"/>
  <c r="R33" i="56"/>
  <c r="R45" i="56"/>
  <c r="R44" i="56"/>
  <c r="R28" i="56"/>
  <c r="R24" i="56"/>
  <c r="R50" i="56"/>
  <c r="R38" i="56"/>
  <c r="R34" i="56"/>
  <c r="R19" i="56"/>
  <c r="R17" i="56"/>
  <c r="R15" i="56"/>
  <c r="R49" i="56"/>
  <c r="J38" i="45"/>
  <c r="J42" i="45"/>
  <c r="J46" i="45"/>
  <c r="J56" i="45"/>
  <c r="J68" i="45"/>
  <c r="J74" i="45"/>
  <c r="J80" i="45"/>
  <c r="J96" i="45"/>
  <c r="J33" i="48"/>
  <c r="J37" i="48"/>
  <c r="J41" i="48"/>
  <c r="Z55" i="48"/>
  <c r="L69" i="48"/>
  <c r="N69" i="48" s="1"/>
  <c r="J73" i="48"/>
  <c r="L78" i="51"/>
  <c r="N78" i="51" s="1"/>
  <c r="Z82" i="51"/>
  <c r="H16" i="54"/>
  <c r="R33" i="55"/>
  <c r="R31" i="55"/>
  <c r="R21" i="55"/>
  <c r="R20" i="55"/>
  <c r="P16" i="55"/>
  <c r="R23" i="55"/>
  <c r="R22" i="55"/>
  <c r="R35" i="55"/>
  <c r="R40" i="55"/>
  <c r="R37" i="55"/>
  <c r="R25" i="55"/>
  <c r="R24" i="55"/>
  <c r="R27" i="55"/>
  <c r="R26" i="55"/>
  <c r="R28" i="55"/>
  <c r="X12" i="55"/>
  <c r="R29" i="55"/>
  <c r="R18" i="55"/>
  <c r="R16" i="55"/>
  <c r="R14" i="55"/>
  <c r="X18" i="55"/>
  <c r="Z18" i="55" s="1"/>
  <c r="J32" i="45"/>
  <c r="J36" i="45"/>
  <c r="J54" i="45"/>
  <c r="J66" i="45"/>
  <c r="J72" i="45"/>
  <c r="J78" i="45"/>
  <c r="J84" i="45"/>
  <c r="J88" i="45"/>
  <c r="J94" i="45"/>
  <c r="F68" i="48"/>
  <c r="F67" i="48"/>
  <c r="F60" i="48"/>
  <c r="F52" i="48"/>
  <c r="F51" i="48"/>
  <c r="F70" i="48"/>
  <c r="F69" i="48"/>
  <c r="F72" i="48"/>
  <c r="F63" i="48"/>
  <c r="F62" i="48"/>
  <c r="F58" i="48"/>
  <c r="F57" i="48"/>
  <c r="F77" i="48"/>
  <c r="F65" i="48"/>
  <c r="J23" i="48"/>
  <c r="J27" i="48"/>
  <c r="F31" i="48"/>
  <c r="F32" i="48"/>
  <c r="F36" i="48"/>
  <c r="F40" i="48"/>
  <c r="F48" i="48"/>
  <c r="J49" i="48"/>
  <c r="F66" i="48"/>
  <c r="N76" i="51"/>
  <c r="X78" i="51"/>
  <c r="Z78" i="51" s="1"/>
  <c r="N29" i="54"/>
  <c r="J77" i="45"/>
  <c r="J93" i="45"/>
  <c r="J69" i="48"/>
  <c r="J53" i="48"/>
  <c r="J64" i="48"/>
  <c r="J58" i="48"/>
  <c r="J48" i="48"/>
  <c r="J77" i="48"/>
  <c r="J65" i="48"/>
  <c r="J68" i="48"/>
  <c r="J60" i="48"/>
  <c r="J52" i="48"/>
  <c r="X15" i="48"/>
  <c r="X19" i="48"/>
  <c r="Z19" i="48" s="1"/>
  <c r="J32" i="48"/>
  <c r="J36" i="48"/>
  <c r="J40" i="48"/>
  <c r="J66" i="48"/>
  <c r="J72" i="48"/>
  <c r="N18" i="54"/>
  <c r="L18" i="54"/>
  <c r="H59" i="60"/>
  <c r="N16" i="60"/>
  <c r="J64" i="45"/>
  <c r="J104" i="45"/>
  <c r="L12" i="48"/>
  <c r="N12" i="48" s="1"/>
  <c r="J31" i="48"/>
  <c r="F56" i="48"/>
  <c r="Z76" i="51"/>
  <c r="Z29" i="54"/>
  <c r="Z71" i="56"/>
  <c r="X71" i="56"/>
  <c r="J23" i="45"/>
  <c r="J25" i="45"/>
  <c r="J27" i="45"/>
  <c r="J31" i="45"/>
  <c r="J35" i="45"/>
  <c r="J51" i="45"/>
  <c r="J63" i="45"/>
  <c r="J71" i="45"/>
  <c r="J83" i="45"/>
  <c r="D17" i="48"/>
  <c r="J22" i="48"/>
  <c r="J26" i="48"/>
  <c r="J30" i="48"/>
  <c r="F35" i="48"/>
  <c r="F39" i="48"/>
  <c r="F46" i="48"/>
  <c r="F47" i="48"/>
  <c r="J56" i="48"/>
  <c r="F59" i="48"/>
  <c r="J62" i="48"/>
  <c r="D12" i="51"/>
  <c r="L104" i="51"/>
  <c r="N104" i="51" s="1"/>
  <c r="X12" i="54"/>
  <c r="R22" i="54"/>
  <c r="R20" i="54"/>
  <c r="R18" i="54"/>
  <c r="R16" i="54"/>
  <c r="R14" i="54"/>
  <c r="P16" i="54"/>
  <c r="R24" i="54"/>
  <c r="R31" i="54"/>
  <c r="R29" i="54"/>
  <c r="R28" i="54"/>
  <c r="R26" i="54"/>
  <c r="Z18" i="54"/>
  <c r="X18" i="54"/>
  <c r="N14" i="55"/>
  <c r="L14" i="55"/>
  <c r="Z15" i="56"/>
  <c r="X15" i="56"/>
  <c r="Z45" i="56"/>
  <c r="V36" i="51"/>
  <c r="V40" i="51"/>
  <c r="V44" i="51"/>
  <c r="J56" i="51"/>
  <c r="J60" i="51"/>
  <c r="J74" i="51"/>
  <c r="V80" i="51"/>
  <c r="J84" i="51"/>
  <c r="V88" i="51"/>
  <c r="J94" i="51"/>
  <c r="V96" i="51"/>
  <c r="J100" i="51"/>
  <c r="V106" i="51"/>
  <c r="F14" i="54"/>
  <c r="F16" i="54"/>
  <c r="F18" i="54"/>
  <c r="F20" i="54"/>
  <c r="F22" i="54"/>
  <c r="J24" i="54"/>
  <c r="N12" i="55"/>
  <c r="V20" i="55"/>
  <c r="J28" i="55"/>
  <c r="V21" i="56"/>
  <c r="V25" i="56"/>
  <c r="V29" i="56"/>
  <c r="J33" i="56"/>
  <c r="J37" i="56"/>
  <c r="F41" i="56"/>
  <c r="F42" i="56"/>
  <c r="J43" i="56"/>
  <c r="V46" i="56"/>
  <c r="V62" i="56"/>
  <c r="J66" i="56"/>
  <c r="Z67" i="56"/>
  <c r="V76" i="56"/>
  <c r="X15" i="57"/>
  <c r="Z19" i="57"/>
  <c r="Z45" i="57"/>
  <c r="Z58" i="57"/>
  <c r="F61" i="57"/>
  <c r="Z18" i="58"/>
  <c r="N43" i="58"/>
  <c r="Z45" i="58"/>
  <c r="X45" i="58"/>
  <c r="L61" i="58"/>
  <c r="N61" i="58" s="1"/>
  <c r="N61" i="59"/>
  <c r="J34" i="51"/>
  <c r="J38" i="51"/>
  <c r="J42" i="51"/>
  <c r="J46" i="51"/>
  <c r="T49" i="51"/>
  <c r="V66" i="51"/>
  <c r="V70" i="51"/>
  <c r="V78" i="51"/>
  <c r="V86" i="51"/>
  <c r="J92" i="51"/>
  <c r="J98" i="51"/>
  <c r="V102" i="51"/>
  <c r="V104" i="51"/>
  <c r="J14" i="54"/>
  <c r="J16" i="54"/>
  <c r="J18" i="54"/>
  <c r="J20" i="54"/>
  <c r="J22" i="54"/>
  <c r="V14" i="55"/>
  <c r="V16" i="55"/>
  <c r="V18" i="55"/>
  <c r="J26" i="55"/>
  <c r="F74" i="56"/>
  <c r="F73" i="56"/>
  <c r="F66" i="56"/>
  <c r="F65" i="56"/>
  <c r="F80" i="56"/>
  <c r="F78" i="56"/>
  <c r="F69" i="56"/>
  <c r="F61" i="56"/>
  <c r="F53" i="56"/>
  <c r="F52" i="56"/>
  <c r="F82" i="56"/>
  <c r="F63" i="56"/>
  <c r="F62" i="56"/>
  <c r="F55" i="56"/>
  <c r="F54" i="56"/>
  <c r="F72" i="56"/>
  <c r="F71" i="56"/>
  <c r="F64" i="56"/>
  <c r="V15" i="56"/>
  <c r="V17" i="56"/>
  <c r="V19" i="56"/>
  <c r="J23" i="56"/>
  <c r="J27" i="56"/>
  <c r="F32" i="56"/>
  <c r="F36" i="56"/>
  <c r="F40" i="56"/>
  <c r="J41" i="56"/>
  <c r="J48" i="56"/>
  <c r="V49" i="56"/>
  <c r="F58" i="56"/>
  <c r="F68" i="56"/>
  <c r="F70" i="56"/>
  <c r="V71" i="56"/>
  <c r="F75" i="56"/>
  <c r="V81" i="57"/>
  <c r="V78" i="57"/>
  <c r="V76" i="57"/>
  <c r="V64" i="57"/>
  <c r="V56" i="57"/>
  <c r="V48" i="57"/>
  <c r="V63" i="57"/>
  <c r="V55" i="57"/>
  <c r="V47" i="57"/>
  <c r="V39" i="57"/>
  <c r="V35" i="57"/>
  <c r="V31" i="57"/>
  <c r="V66" i="57"/>
  <c r="V58" i="57"/>
  <c r="V50" i="57"/>
  <c r="V26" i="57"/>
  <c r="V22" i="57"/>
  <c r="Z12" i="57"/>
  <c r="V65" i="57"/>
  <c r="V57" i="57"/>
  <c r="V49" i="57"/>
  <c r="V41" i="57"/>
  <c r="V69" i="57"/>
  <c r="V67" i="57"/>
  <c r="V59" i="57"/>
  <c r="V51" i="57"/>
  <c r="V43" i="57"/>
  <c r="V27" i="57"/>
  <c r="V23" i="57"/>
  <c r="V70" i="57"/>
  <c r="V42" i="57"/>
  <c r="V71" i="57"/>
  <c r="V53" i="57"/>
  <c r="V45" i="57"/>
  <c r="V37" i="57"/>
  <c r="V33" i="57"/>
  <c r="V74" i="57"/>
  <c r="V72" i="57"/>
  <c r="V60" i="57"/>
  <c r="V44" i="57"/>
  <c r="V28" i="57"/>
  <c r="V24" i="57"/>
  <c r="V20" i="57"/>
  <c r="V19" i="57"/>
  <c r="V61" i="57"/>
  <c r="V29" i="57"/>
  <c r="V25" i="57"/>
  <c r="V21" i="57"/>
  <c r="V15" i="57"/>
  <c r="Z41" i="57"/>
  <c r="X41" i="57"/>
  <c r="Z43" i="58"/>
  <c r="N59" i="59"/>
  <c r="Z14" i="61"/>
  <c r="T16" i="61"/>
  <c r="J83" i="51"/>
  <c r="V87" i="51"/>
  <c r="J91" i="51"/>
  <c r="V95" i="51"/>
  <c r="J75" i="56"/>
  <c r="J67" i="56"/>
  <c r="J49" i="56"/>
  <c r="J76" i="56"/>
  <c r="J69" i="56"/>
  <c r="J61" i="56"/>
  <c r="J53" i="56"/>
  <c r="J82" i="56"/>
  <c r="J62" i="56"/>
  <c r="J54" i="56"/>
  <c r="J63" i="56"/>
  <c r="J87" i="56"/>
  <c r="J84" i="56"/>
  <c r="J70" i="56"/>
  <c r="J56" i="56"/>
  <c r="J73" i="56"/>
  <c r="J65" i="56"/>
  <c r="J59" i="56"/>
  <c r="J47" i="56"/>
  <c r="V20" i="56"/>
  <c r="V24" i="56"/>
  <c r="V28" i="56"/>
  <c r="J32" i="56"/>
  <c r="J36" i="56"/>
  <c r="J40" i="56"/>
  <c r="V44" i="56"/>
  <c r="V56" i="56"/>
  <c r="J68" i="56"/>
  <c r="N75" i="56"/>
  <c r="V30" i="57"/>
  <c r="Z50" i="57"/>
  <c r="X61" i="58"/>
  <c r="Z61" i="58" s="1"/>
  <c r="V52" i="51"/>
  <c r="V56" i="51"/>
  <c r="V60" i="51"/>
  <c r="J64" i="51"/>
  <c r="J68" i="51"/>
  <c r="J72" i="51"/>
  <c r="V76" i="51"/>
  <c r="J82" i="51"/>
  <c r="V84" i="51"/>
  <c r="V100" i="51"/>
  <c r="J110" i="51"/>
  <c r="J24" i="55"/>
  <c r="V28" i="55"/>
  <c r="F35" i="55"/>
  <c r="L12" i="56"/>
  <c r="V33" i="56"/>
  <c r="V37" i="56"/>
  <c r="V45" i="56"/>
  <c r="F47" i="56"/>
  <c r="Z56" i="56"/>
  <c r="J58" i="56"/>
  <c r="J78" i="56"/>
  <c r="V80" i="56"/>
  <c r="F87" i="56"/>
  <c r="V46" i="57"/>
  <c r="V52" i="57"/>
  <c r="J37" i="51"/>
  <c r="J41" i="51"/>
  <c r="J45" i="51"/>
  <c r="J63" i="51"/>
  <c r="V65" i="51"/>
  <c r="V69" i="51"/>
  <c r="V73" i="51"/>
  <c r="J81" i="51"/>
  <c r="V85" i="51"/>
  <c r="V93" i="51"/>
  <c r="J97" i="51"/>
  <c r="V101" i="51"/>
  <c r="L12" i="54"/>
  <c r="D16" i="55"/>
  <c r="F21" i="55"/>
  <c r="F22" i="55"/>
  <c r="J23" i="55"/>
  <c r="F31" i="55"/>
  <c r="F33" i="55"/>
  <c r="J35" i="55"/>
  <c r="N12" i="56"/>
  <c r="D17" i="56"/>
  <c r="J22" i="56"/>
  <c r="J26" i="56"/>
  <c r="F30" i="56"/>
  <c r="F31" i="56"/>
  <c r="F35" i="56"/>
  <c r="F39" i="56"/>
  <c r="V42" i="56"/>
  <c r="F51" i="56"/>
  <c r="V55" i="56"/>
  <c r="V70" i="56"/>
  <c r="J72" i="56"/>
  <c r="F27" i="57"/>
  <c r="N69" i="58"/>
  <c r="N43" i="59"/>
  <c r="Z49" i="62"/>
  <c r="X49" i="62"/>
  <c r="Z54" i="63"/>
  <c r="X54" i="63"/>
  <c r="N61" i="63"/>
  <c r="L61" i="63"/>
  <c r="V34" i="51"/>
  <c r="V38" i="51"/>
  <c r="V42" i="51"/>
  <c r="V46" i="51"/>
  <c r="J54" i="51"/>
  <c r="J58" i="51"/>
  <c r="J62" i="51"/>
  <c r="V74" i="51"/>
  <c r="J80" i="51"/>
  <c r="J90" i="51"/>
  <c r="V94" i="51"/>
  <c r="V98" i="51"/>
  <c r="N12" i="54"/>
  <c r="F14" i="55"/>
  <c r="F16" i="55"/>
  <c r="F18" i="55"/>
  <c r="J22" i="55"/>
  <c r="V26" i="55"/>
  <c r="F15" i="56"/>
  <c r="F17" i="56"/>
  <c r="F19" i="56"/>
  <c r="V23" i="56"/>
  <c r="V27" i="56"/>
  <c r="J31" i="56"/>
  <c r="J35" i="56"/>
  <c r="J39" i="56"/>
  <c r="V43" i="56"/>
  <c r="J51" i="56"/>
  <c r="F57" i="56"/>
  <c r="F60" i="56"/>
  <c r="V63" i="56"/>
  <c r="T17" i="57"/>
  <c r="V40" i="57"/>
  <c r="Z19" i="58"/>
  <c r="N51" i="58"/>
  <c r="L51" i="58"/>
  <c r="P16" i="60"/>
  <c r="N42" i="60"/>
  <c r="J110" i="62"/>
  <c r="J107" i="62"/>
  <c r="J75" i="62"/>
  <c r="J69" i="62"/>
  <c r="J57" i="62"/>
  <c r="J47" i="62"/>
  <c r="J31" i="62"/>
  <c r="J76" i="62"/>
  <c r="J70" i="62"/>
  <c r="J58" i="62"/>
  <c r="J48" i="62"/>
  <c r="J40" i="62"/>
  <c r="J36" i="62"/>
  <c r="J32" i="62"/>
  <c r="N12" i="62"/>
  <c r="J95" i="62"/>
  <c r="J87" i="62"/>
  <c r="J83" i="62"/>
  <c r="J71" i="62"/>
  <c r="J59" i="62"/>
  <c r="J49" i="62"/>
  <c r="J27" i="62"/>
  <c r="J23" i="62"/>
  <c r="J96" i="62"/>
  <c r="J97" i="62"/>
  <c r="J77" i="62"/>
  <c r="J61" i="62"/>
  <c r="J41" i="62"/>
  <c r="J37" i="62"/>
  <c r="J33" i="62"/>
  <c r="J88" i="62"/>
  <c r="J84" i="62"/>
  <c r="J72" i="62"/>
  <c r="J62" i="62"/>
  <c r="J42" i="62"/>
  <c r="J28" i="62"/>
  <c r="J24" i="62"/>
  <c r="J14" i="62"/>
  <c r="J100" i="62"/>
  <c r="J99" i="62"/>
  <c r="J89" i="62"/>
  <c r="J63" i="62"/>
  <c r="J51" i="62"/>
  <c r="J43" i="62"/>
  <c r="J15" i="62"/>
  <c r="J101" i="62"/>
  <c r="J90" i="62"/>
  <c r="J78" i="62"/>
  <c r="J64" i="62"/>
  <c r="J103" i="62"/>
  <c r="J91" i="62"/>
  <c r="J85" i="62"/>
  <c r="J79" i="62"/>
  <c r="J73" i="62"/>
  <c r="J65" i="62"/>
  <c r="J53" i="62"/>
  <c r="J45" i="62"/>
  <c r="J29" i="62"/>
  <c r="J25" i="62"/>
  <c r="J21" i="62"/>
  <c r="J19" i="62"/>
  <c r="J17" i="62"/>
  <c r="J94" i="62"/>
  <c r="J86" i="62"/>
  <c r="J82" i="62"/>
  <c r="J74" i="62"/>
  <c r="J68" i="62"/>
  <c r="J56" i="62"/>
  <c r="J46" i="62"/>
  <c r="J30" i="62"/>
  <c r="J26" i="62"/>
  <c r="J22" i="62"/>
  <c r="J67" i="62"/>
  <c r="J80" i="62"/>
  <c r="J54" i="62"/>
  <c r="J105" i="62"/>
  <c r="J52" i="62"/>
  <c r="J38" i="62"/>
  <c r="J92" i="62"/>
  <c r="J81" i="62"/>
  <c r="J66" i="62"/>
  <c r="J34" i="62"/>
  <c r="J60" i="62"/>
  <c r="J55" i="62"/>
  <c r="J50" i="62"/>
  <c r="J44" i="62"/>
  <c r="J20" i="62"/>
  <c r="J93" i="62"/>
  <c r="J39" i="62"/>
  <c r="H17" i="62"/>
  <c r="V69" i="56"/>
  <c r="V61" i="56"/>
  <c r="V53" i="56"/>
  <c r="V87" i="56"/>
  <c r="V84" i="56"/>
  <c r="V82" i="56"/>
  <c r="V73" i="56"/>
  <c r="V65" i="56"/>
  <c r="V57" i="56"/>
  <c r="V72" i="56"/>
  <c r="V64" i="56"/>
  <c r="V75" i="56"/>
  <c r="V67" i="56"/>
  <c r="V59" i="56"/>
  <c r="V74" i="56"/>
  <c r="V66" i="56"/>
  <c r="V50" i="56"/>
  <c r="V51" i="56"/>
  <c r="H17" i="56"/>
  <c r="V32" i="56"/>
  <c r="V36" i="56"/>
  <c r="V40" i="56"/>
  <c r="V48" i="56"/>
  <c r="J57" i="56"/>
  <c r="J60" i="56"/>
  <c r="F67" i="56"/>
  <c r="J74" i="56"/>
  <c r="P12" i="57"/>
  <c r="X13" i="57"/>
  <c r="Z69" i="58"/>
  <c r="X69" i="58"/>
  <c r="N51" i="63"/>
  <c r="L51" i="63"/>
  <c r="J36" i="51"/>
  <c r="J40" i="51"/>
  <c r="J44" i="51"/>
  <c r="H49" i="51"/>
  <c r="V64" i="51"/>
  <c r="V68" i="51"/>
  <c r="V72" i="51"/>
  <c r="J78" i="51"/>
  <c r="J88" i="51"/>
  <c r="V92" i="51"/>
  <c r="J96" i="51"/>
  <c r="J104" i="51"/>
  <c r="J105" i="51"/>
  <c r="V110" i="51"/>
  <c r="V14" i="54"/>
  <c r="V16" i="54"/>
  <c r="V18" i="54"/>
  <c r="V20" i="54"/>
  <c r="F26" i="54"/>
  <c r="F28" i="54"/>
  <c r="F29" i="54"/>
  <c r="F31" i="54"/>
  <c r="J14" i="55"/>
  <c r="J16" i="55"/>
  <c r="J18" i="55"/>
  <c r="J20" i="55"/>
  <c r="V24" i="55"/>
  <c r="F29" i="55"/>
  <c r="J15" i="56"/>
  <c r="J17" i="56"/>
  <c r="J19" i="56"/>
  <c r="J21" i="56"/>
  <c r="J25" i="56"/>
  <c r="J29" i="56"/>
  <c r="F34" i="56"/>
  <c r="F38" i="56"/>
  <c r="V41" i="56"/>
  <c r="F45" i="56"/>
  <c r="F46" i="56"/>
  <c r="V47" i="56"/>
  <c r="V52" i="56"/>
  <c r="N67" i="56"/>
  <c r="V36" i="57"/>
  <c r="V38" i="57"/>
  <c r="N49" i="58"/>
  <c r="Z51" i="58"/>
  <c r="V33" i="51"/>
  <c r="V37" i="51"/>
  <c r="V41" i="51"/>
  <c r="V45" i="51"/>
  <c r="J49" i="51"/>
  <c r="J51" i="51"/>
  <c r="J53" i="51"/>
  <c r="J57" i="51"/>
  <c r="J61" i="51"/>
  <c r="J77" i="51"/>
  <c r="V81" i="51"/>
  <c r="J87" i="51"/>
  <c r="V97" i="51"/>
  <c r="L18" i="55"/>
  <c r="N18" i="55" s="1"/>
  <c r="V35" i="55"/>
  <c r="V37" i="55"/>
  <c r="V40" i="55"/>
  <c r="Z12" i="56"/>
  <c r="L15" i="56"/>
  <c r="L19" i="56"/>
  <c r="J20" i="56"/>
  <c r="V22" i="56"/>
  <c r="V26" i="56"/>
  <c r="J34" i="56"/>
  <c r="J38" i="56"/>
  <c r="X41" i="56"/>
  <c r="Z41" i="56" s="1"/>
  <c r="J46" i="56"/>
  <c r="J50" i="56"/>
  <c r="F56" i="56"/>
  <c r="V58" i="56"/>
  <c r="L67" i="56"/>
  <c r="F76" i="56"/>
  <c r="N19" i="57"/>
  <c r="L19" i="57"/>
  <c r="V34" i="57"/>
  <c r="L45" i="58"/>
  <c r="Z67" i="58"/>
  <c r="Z40" i="60"/>
  <c r="N91" i="62"/>
  <c r="L91" i="62"/>
  <c r="J52" i="51"/>
  <c r="V54" i="51"/>
  <c r="V58" i="51"/>
  <c r="V62" i="51"/>
  <c r="J66" i="51"/>
  <c r="J70" i="51"/>
  <c r="J76" i="51"/>
  <c r="V82" i="51"/>
  <c r="J86" i="51"/>
  <c r="V90" i="51"/>
  <c r="J102" i="51"/>
  <c r="J26" i="54"/>
  <c r="J28" i="54"/>
  <c r="J29" i="54"/>
  <c r="V22" i="55"/>
  <c r="L20" i="56"/>
  <c r="N20" i="56" s="1"/>
  <c r="F24" i="56"/>
  <c r="F28" i="56"/>
  <c r="V31" i="56"/>
  <c r="V35" i="56"/>
  <c r="V39" i="56"/>
  <c r="F43" i="56"/>
  <c r="F44" i="56"/>
  <c r="J45" i="56"/>
  <c r="F49" i="56"/>
  <c r="N50" i="56"/>
  <c r="V54" i="56"/>
  <c r="V60" i="56"/>
  <c r="J64" i="56"/>
  <c r="N71" i="56"/>
  <c r="V78" i="56"/>
  <c r="N15" i="57"/>
  <c r="L15" i="57"/>
  <c r="V32" i="57"/>
  <c r="V62" i="57"/>
  <c r="N45" i="58"/>
  <c r="J35" i="51"/>
  <c r="J39" i="51"/>
  <c r="J43" i="51"/>
  <c r="J47" i="51"/>
  <c r="V63" i="51"/>
  <c r="V67" i="51"/>
  <c r="V71" i="51"/>
  <c r="J75" i="51"/>
  <c r="J85" i="51"/>
  <c r="J95" i="51"/>
  <c r="D16" i="54"/>
  <c r="L12" i="55"/>
  <c r="F27" i="55"/>
  <c r="J24" i="56"/>
  <c r="J28" i="56"/>
  <c r="F33" i="56"/>
  <c r="F37" i="56"/>
  <c r="J44" i="56"/>
  <c r="L56" i="56"/>
  <c r="N56" i="56" s="1"/>
  <c r="J71" i="56"/>
  <c r="F84" i="56"/>
  <c r="F70" i="57"/>
  <c r="F53" i="57"/>
  <c r="F52" i="57"/>
  <c r="F37" i="57"/>
  <c r="F33" i="57"/>
  <c r="F71" i="57"/>
  <c r="F69" i="57"/>
  <c r="F60" i="57"/>
  <c r="F44" i="57"/>
  <c r="F43" i="57"/>
  <c r="F28" i="57"/>
  <c r="F24" i="57"/>
  <c r="F72" i="57"/>
  <c r="F54" i="57"/>
  <c r="F46" i="57"/>
  <c r="F45" i="57"/>
  <c r="F38" i="57"/>
  <c r="F34" i="57"/>
  <c r="F76" i="57"/>
  <c r="F19" i="57"/>
  <c r="F17" i="57"/>
  <c r="F15" i="57"/>
  <c r="F63" i="57"/>
  <c r="F62" i="57"/>
  <c r="F55" i="57"/>
  <c r="F47" i="57"/>
  <c r="F39" i="57"/>
  <c r="F35" i="57"/>
  <c r="F31" i="57"/>
  <c r="F30" i="57"/>
  <c r="D17" i="57"/>
  <c r="F26" i="57"/>
  <c r="F22" i="57"/>
  <c r="L12" i="57"/>
  <c r="F81" i="57"/>
  <c r="F78" i="57"/>
  <c r="F65" i="57"/>
  <c r="F64" i="57"/>
  <c r="F57" i="57"/>
  <c r="F56" i="57"/>
  <c r="F49" i="57"/>
  <c r="F48" i="57"/>
  <c r="F40" i="57"/>
  <c r="F36" i="57"/>
  <c r="F32" i="57"/>
  <c r="F42" i="57"/>
  <c r="F41" i="57"/>
  <c r="N41" i="57"/>
  <c r="F50" i="57"/>
  <c r="Z18" i="60"/>
  <c r="J33" i="57"/>
  <c r="J37" i="57"/>
  <c r="J43" i="57"/>
  <c r="J53" i="57"/>
  <c r="J69" i="57"/>
  <c r="J70" i="57"/>
  <c r="D16" i="58"/>
  <c r="J21" i="58"/>
  <c r="R22" i="58"/>
  <c r="J25" i="58"/>
  <c r="R26" i="58"/>
  <c r="J29" i="58"/>
  <c r="F34" i="58"/>
  <c r="F38" i="58"/>
  <c r="V41" i="58"/>
  <c r="F45" i="58"/>
  <c r="F46" i="58"/>
  <c r="J47" i="58"/>
  <c r="R50" i="58"/>
  <c r="R51" i="58"/>
  <c r="V57" i="58"/>
  <c r="F61" i="58"/>
  <c r="F62" i="58"/>
  <c r="J63" i="58"/>
  <c r="V65" i="58"/>
  <c r="F69" i="58"/>
  <c r="F70" i="58"/>
  <c r="J71" i="58"/>
  <c r="D16" i="59"/>
  <c r="J21" i="59"/>
  <c r="R22" i="59"/>
  <c r="J25" i="59"/>
  <c r="R26" i="59"/>
  <c r="J29" i="59"/>
  <c r="F34" i="59"/>
  <c r="F38" i="59"/>
  <c r="V41" i="59"/>
  <c r="J45" i="59"/>
  <c r="V49" i="59"/>
  <c r="F54" i="59"/>
  <c r="V57" i="59"/>
  <c r="F61" i="59"/>
  <c r="F62" i="59"/>
  <c r="V65" i="59"/>
  <c r="J75" i="59"/>
  <c r="J78" i="59"/>
  <c r="J55" i="60"/>
  <c r="J52" i="60"/>
  <c r="N14" i="60"/>
  <c r="F23" i="60"/>
  <c r="F27" i="60"/>
  <c r="V30" i="60"/>
  <c r="V34" i="60"/>
  <c r="V38" i="60"/>
  <c r="F42" i="60"/>
  <c r="F43" i="60"/>
  <c r="J44" i="60"/>
  <c r="V46" i="60"/>
  <c r="F50" i="60"/>
  <c r="J51" i="60"/>
  <c r="V52" i="60"/>
  <c r="V57" i="60"/>
  <c r="J61" i="60"/>
  <c r="R14" i="61"/>
  <c r="L40" i="61"/>
  <c r="N40" i="61" s="1"/>
  <c r="R44" i="61"/>
  <c r="F94" i="62"/>
  <c r="F93" i="62"/>
  <c r="F86" i="62"/>
  <c r="F82" i="62"/>
  <c r="F81" i="62"/>
  <c r="F74" i="62"/>
  <c r="F46" i="62"/>
  <c r="F30" i="62"/>
  <c r="F26" i="62"/>
  <c r="F22" i="62"/>
  <c r="F69" i="62"/>
  <c r="F68" i="62"/>
  <c r="F57" i="62"/>
  <c r="F56" i="62"/>
  <c r="F110" i="62"/>
  <c r="F107" i="62"/>
  <c r="F76" i="62"/>
  <c r="F75" i="62"/>
  <c r="F48" i="62"/>
  <c r="F47" i="62"/>
  <c r="F40" i="62"/>
  <c r="F36" i="62"/>
  <c r="F32" i="62"/>
  <c r="F31" i="62"/>
  <c r="L12" i="62"/>
  <c r="F95" i="62"/>
  <c r="F87" i="62"/>
  <c r="F83" i="62"/>
  <c r="F50" i="62"/>
  <c r="F49" i="62"/>
  <c r="F97" i="62"/>
  <c r="F96" i="62"/>
  <c r="F77" i="62"/>
  <c r="F61" i="62"/>
  <c r="F60" i="62"/>
  <c r="F41" i="62"/>
  <c r="F37" i="62"/>
  <c r="F33" i="62"/>
  <c r="F88" i="62"/>
  <c r="F84" i="62"/>
  <c r="F72" i="62"/>
  <c r="F28" i="62"/>
  <c r="F24" i="62"/>
  <c r="F100" i="62"/>
  <c r="F63" i="62"/>
  <c r="F101" i="62"/>
  <c r="F99" i="62"/>
  <c r="F90" i="62"/>
  <c r="F89" i="62"/>
  <c r="F78" i="62"/>
  <c r="F38" i="62"/>
  <c r="F34" i="62"/>
  <c r="F105" i="62"/>
  <c r="F67" i="62"/>
  <c r="F66" i="62"/>
  <c r="F55" i="62"/>
  <c r="F54" i="62"/>
  <c r="F39" i="62"/>
  <c r="F35" i="62"/>
  <c r="D17" i="62"/>
  <c r="Z47" i="62"/>
  <c r="F65" i="62"/>
  <c r="F91" i="62"/>
  <c r="Z29" i="63"/>
  <c r="X29" i="63"/>
  <c r="R33" i="63"/>
  <c r="R54" i="63"/>
  <c r="J79" i="64"/>
  <c r="J59" i="57"/>
  <c r="J67" i="57"/>
  <c r="H16" i="58"/>
  <c r="V31" i="58"/>
  <c r="V35" i="58"/>
  <c r="V39" i="58"/>
  <c r="F43" i="58"/>
  <c r="F44" i="58"/>
  <c r="J45" i="58"/>
  <c r="R48" i="58"/>
  <c r="R49" i="58"/>
  <c r="V51" i="58"/>
  <c r="J55" i="58"/>
  <c r="R56" i="58"/>
  <c r="F60" i="58"/>
  <c r="J61" i="58"/>
  <c r="R64" i="58"/>
  <c r="F67" i="58"/>
  <c r="F68" i="58"/>
  <c r="J69" i="58"/>
  <c r="R72" i="58"/>
  <c r="H16" i="59"/>
  <c r="F19" i="59"/>
  <c r="F20" i="59"/>
  <c r="F24" i="59"/>
  <c r="F28" i="59"/>
  <c r="V31" i="59"/>
  <c r="V35" i="59"/>
  <c r="V39" i="59"/>
  <c r="F43" i="59"/>
  <c r="F44" i="59"/>
  <c r="V47" i="59"/>
  <c r="V55" i="59"/>
  <c r="F59" i="59"/>
  <c r="F60" i="59"/>
  <c r="J61" i="59"/>
  <c r="V63" i="59"/>
  <c r="F69" i="59"/>
  <c r="F71" i="59"/>
  <c r="J73" i="59"/>
  <c r="R14" i="60"/>
  <c r="R16" i="60"/>
  <c r="R18" i="60"/>
  <c r="V20" i="60"/>
  <c r="V24" i="60"/>
  <c r="V28" i="60"/>
  <c r="R33" i="60"/>
  <c r="R37" i="60"/>
  <c r="F40" i="60"/>
  <c r="F41" i="60"/>
  <c r="F48" i="60"/>
  <c r="F49" i="60"/>
  <c r="V55" i="60"/>
  <c r="J49" i="61"/>
  <c r="J25" i="61"/>
  <c r="J21" i="61"/>
  <c r="J62" i="61"/>
  <c r="J50" i="61"/>
  <c r="J51" i="61"/>
  <c r="J39" i="61"/>
  <c r="J35" i="61"/>
  <c r="J31" i="61"/>
  <c r="J42" i="61"/>
  <c r="J36" i="61"/>
  <c r="J32" i="61"/>
  <c r="J43" i="61"/>
  <c r="J27" i="61"/>
  <c r="J23" i="61"/>
  <c r="L12" i="61"/>
  <c r="J55" i="61"/>
  <c r="J45" i="61"/>
  <c r="J37" i="61"/>
  <c r="J33" i="61"/>
  <c r="J19" i="61"/>
  <c r="J60" i="61"/>
  <c r="J58" i="61"/>
  <c r="J48" i="61"/>
  <c r="J38" i="61"/>
  <c r="J34" i="61"/>
  <c r="J30" i="61"/>
  <c r="J18" i="61"/>
  <c r="R19" i="61"/>
  <c r="J40" i="61"/>
  <c r="R43" i="61"/>
  <c r="Z46" i="61"/>
  <c r="X17" i="62"/>
  <c r="N73" i="64"/>
  <c r="H66" i="65"/>
  <c r="N18" i="65"/>
  <c r="J32" i="57"/>
  <c r="J36" i="57"/>
  <c r="J40" i="57"/>
  <c r="J50" i="57"/>
  <c r="J58" i="57"/>
  <c r="J66" i="57"/>
  <c r="P69" i="57"/>
  <c r="X69" i="57" s="1"/>
  <c r="R21" i="58"/>
  <c r="J24" i="58"/>
  <c r="R25" i="58"/>
  <c r="J28" i="58"/>
  <c r="R29" i="58"/>
  <c r="R30" i="58"/>
  <c r="F33" i="58"/>
  <c r="F37" i="58"/>
  <c r="J44" i="58"/>
  <c r="V48" i="58"/>
  <c r="F53" i="58"/>
  <c r="J54" i="58"/>
  <c r="V56" i="58"/>
  <c r="J60" i="58"/>
  <c r="V64" i="58"/>
  <c r="J68" i="58"/>
  <c r="V72" i="58"/>
  <c r="V74" i="58"/>
  <c r="V76" i="58"/>
  <c r="F80" i="58"/>
  <c r="F83" i="58"/>
  <c r="R21" i="59"/>
  <c r="R25" i="59"/>
  <c r="J28" i="59"/>
  <c r="R29" i="59"/>
  <c r="R30" i="59"/>
  <c r="F33" i="59"/>
  <c r="F37" i="59"/>
  <c r="J44" i="59"/>
  <c r="R45" i="59"/>
  <c r="R46" i="59"/>
  <c r="V48" i="59"/>
  <c r="F52" i="59"/>
  <c r="F53" i="59"/>
  <c r="V56" i="59"/>
  <c r="J60" i="59"/>
  <c r="V64" i="59"/>
  <c r="R61" i="60"/>
  <c r="R54" i="60"/>
  <c r="R53" i="60"/>
  <c r="T16" i="60"/>
  <c r="R19" i="60"/>
  <c r="F22" i="60"/>
  <c r="F26" i="60"/>
  <c r="V29" i="60"/>
  <c r="V33" i="60"/>
  <c r="V37" i="60"/>
  <c r="J41" i="60"/>
  <c r="J49" i="60"/>
  <c r="R51" i="60"/>
  <c r="F59" i="60"/>
  <c r="F66" i="60"/>
  <c r="N12" i="61"/>
  <c r="D60" i="61"/>
  <c r="Z19" i="61"/>
  <c r="R21" i="61"/>
  <c r="V30" i="61"/>
  <c r="X40" i="61"/>
  <c r="Z40" i="61" s="1"/>
  <c r="V46" i="61"/>
  <c r="N20" i="62"/>
  <c r="N58" i="62"/>
  <c r="F62" i="62"/>
  <c r="F73" i="62"/>
  <c r="F79" i="62"/>
  <c r="F85" i="62"/>
  <c r="Z91" i="62"/>
  <c r="R53" i="63"/>
  <c r="N71" i="64"/>
  <c r="L71" i="64"/>
  <c r="J71" i="64"/>
  <c r="T79" i="73"/>
  <c r="X20" i="57"/>
  <c r="Z20" i="57" s="1"/>
  <c r="J49" i="57"/>
  <c r="L50" i="57"/>
  <c r="N50" i="57" s="1"/>
  <c r="J57" i="57"/>
  <c r="L58" i="57"/>
  <c r="N58" i="57" s="1"/>
  <c r="J65" i="57"/>
  <c r="L66" i="57"/>
  <c r="L14" i="58"/>
  <c r="L18" i="58"/>
  <c r="N18" i="58" s="1"/>
  <c r="J19" i="58"/>
  <c r="V21" i="58"/>
  <c r="V25" i="58"/>
  <c r="V29" i="58"/>
  <c r="J33" i="58"/>
  <c r="R34" i="58"/>
  <c r="J37" i="58"/>
  <c r="R38" i="58"/>
  <c r="F41" i="58"/>
  <c r="F42" i="58"/>
  <c r="J43" i="58"/>
  <c r="R46" i="58"/>
  <c r="R47" i="58"/>
  <c r="V49" i="58"/>
  <c r="J53" i="58"/>
  <c r="L54" i="58"/>
  <c r="N54" i="58" s="1"/>
  <c r="R62" i="58"/>
  <c r="R63" i="58"/>
  <c r="F66" i="58"/>
  <c r="J67" i="58"/>
  <c r="R70" i="58"/>
  <c r="R71" i="58"/>
  <c r="X74" i="58"/>
  <c r="L14" i="59"/>
  <c r="L18" i="59"/>
  <c r="N18" i="59" s="1"/>
  <c r="V21" i="59"/>
  <c r="V25" i="59"/>
  <c r="V29" i="59"/>
  <c r="J33" i="59"/>
  <c r="R34" i="59"/>
  <c r="J37" i="59"/>
  <c r="R38" i="59"/>
  <c r="F41" i="59"/>
  <c r="F42" i="59"/>
  <c r="J43" i="59"/>
  <c r="V45" i="59"/>
  <c r="J53" i="59"/>
  <c r="R54" i="59"/>
  <c r="F58" i="59"/>
  <c r="J59" i="59"/>
  <c r="R62" i="59"/>
  <c r="J69" i="59"/>
  <c r="J71" i="59"/>
  <c r="R75" i="59"/>
  <c r="R78" i="59"/>
  <c r="V66" i="60"/>
  <c r="V63" i="60"/>
  <c r="V61" i="60"/>
  <c r="V14" i="60"/>
  <c r="V16" i="60"/>
  <c r="V18" i="60"/>
  <c r="R23" i="60"/>
  <c r="R27" i="60"/>
  <c r="F31" i="60"/>
  <c r="F35" i="60"/>
  <c r="F39" i="60"/>
  <c r="R43" i="60"/>
  <c r="R44" i="60"/>
  <c r="F47" i="60"/>
  <c r="V51" i="60"/>
  <c r="F53" i="60"/>
  <c r="R26" i="61"/>
  <c r="R22" i="61"/>
  <c r="R53" i="61"/>
  <c r="R42" i="61"/>
  <c r="R41" i="61"/>
  <c r="R36" i="61"/>
  <c r="R32" i="61"/>
  <c r="X12" i="61"/>
  <c r="R46" i="61"/>
  <c r="R45" i="61"/>
  <c r="R37" i="61"/>
  <c r="R33" i="61"/>
  <c r="R56" i="61"/>
  <c r="R29" i="61"/>
  <c r="R28" i="61"/>
  <c r="R24" i="61"/>
  <c r="R20" i="61"/>
  <c r="P16" i="61"/>
  <c r="R38" i="61"/>
  <c r="R34" i="61"/>
  <c r="R30" i="61"/>
  <c r="R67" i="61"/>
  <c r="R64" i="61"/>
  <c r="R52" i="61"/>
  <c r="R51" i="61"/>
  <c r="R40" i="61"/>
  <c r="R39" i="61"/>
  <c r="R35" i="61"/>
  <c r="R31" i="61"/>
  <c r="R23" i="61"/>
  <c r="R25" i="61"/>
  <c r="R48" i="61"/>
  <c r="Z17" i="62"/>
  <c r="T103" i="62"/>
  <c r="L79" i="62"/>
  <c r="N79" i="62" s="1"/>
  <c r="F121" i="66"/>
  <c r="F101" i="66"/>
  <c r="F93" i="66"/>
  <c r="F85" i="66"/>
  <c r="F84" i="66"/>
  <c r="F77" i="66"/>
  <c r="F73" i="66"/>
  <c r="F69" i="66"/>
  <c r="F68" i="66"/>
  <c r="F108" i="66"/>
  <c r="F64" i="66"/>
  <c r="F60" i="66"/>
  <c r="L12" i="66"/>
  <c r="F103" i="66"/>
  <c r="F102" i="66"/>
  <c r="F95" i="66"/>
  <c r="F94" i="66"/>
  <c r="F87" i="66"/>
  <c r="F86" i="66"/>
  <c r="F51" i="66"/>
  <c r="F47" i="66"/>
  <c r="F43" i="66"/>
  <c r="F39" i="66"/>
  <c r="F110" i="66"/>
  <c r="F109" i="66"/>
  <c r="F78" i="66"/>
  <c r="F74" i="66"/>
  <c r="F70" i="66"/>
  <c r="F97" i="66"/>
  <c r="F96" i="66"/>
  <c r="F89" i="66"/>
  <c r="F88" i="66"/>
  <c r="F65" i="66"/>
  <c r="F61" i="66"/>
  <c r="F112" i="66"/>
  <c r="F111" i="66"/>
  <c r="F104" i="66"/>
  <c r="F80" i="66"/>
  <c r="F79" i="66"/>
  <c r="F52" i="66"/>
  <c r="F48" i="66"/>
  <c r="F44" i="66"/>
  <c r="F40" i="66"/>
  <c r="F75" i="66"/>
  <c r="F71" i="66"/>
  <c r="F115" i="66"/>
  <c r="F98" i="66"/>
  <c r="F116" i="66"/>
  <c r="F105" i="66"/>
  <c r="F56" i="66"/>
  <c r="F54" i="66"/>
  <c r="F50" i="66"/>
  <c r="F46" i="66"/>
  <c r="F42" i="66"/>
  <c r="F38" i="66"/>
  <c r="F100" i="66"/>
  <c r="F49" i="66"/>
  <c r="F37" i="66"/>
  <c r="F117" i="66"/>
  <c r="F107" i="66"/>
  <c r="F91" i="66"/>
  <c r="F58" i="66"/>
  <c r="F83" i="66"/>
  <c r="F81" i="66"/>
  <c r="F66" i="66"/>
  <c r="F62" i="66"/>
  <c r="F45" i="66"/>
  <c r="F99" i="66"/>
  <c r="F72" i="66"/>
  <c r="F36" i="66"/>
  <c r="F106" i="66"/>
  <c r="F92" i="66"/>
  <c r="F41" i="66"/>
  <c r="F90" i="66"/>
  <c r="F82" i="66"/>
  <c r="D54" i="66"/>
  <c r="F67" i="66"/>
  <c r="F63" i="66"/>
  <c r="J22" i="57"/>
  <c r="J26" i="57"/>
  <c r="J48" i="57"/>
  <c r="J56" i="57"/>
  <c r="J64" i="57"/>
  <c r="J78" i="57"/>
  <c r="J81" i="57"/>
  <c r="F23" i="58"/>
  <c r="F27" i="58"/>
  <c r="V30" i="58"/>
  <c r="V34" i="58"/>
  <c r="V38" i="58"/>
  <c r="J42" i="58"/>
  <c r="V46" i="58"/>
  <c r="R55" i="58"/>
  <c r="F58" i="58"/>
  <c r="F59" i="58"/>
  <c r="V62" i="58"/>
  <c r="J66" i="58"/>
  <c r="V70" i="58"/>
  <c r="J80" i="58"/>
  <c r="J83" i="58"/>
  <c r="F23" i="59"/>
  <c r="F27" i="59"/>
  <c r="V30" i="59"/>
  <c r="V34" i="59"/>
  <c r="V38" i="59"/>
  <c r="J42" i="59"/>
  <c r="V46" i="59"/>
  <c r="F50" i="59"/>
  <c r="F51" i="59"/>
  <c r="J52" i="59"/>
  <c r="V54" i="59"/>
  <c r="J58" i="59"/>
  <c r="V62" i="59"/>
  <c r="F66" i="59"/>
  <c r="F67" i="59"/>
  <c r="R73" i="59"/>
  <c r="X12" i="60"/>
  <c r="V19" i="60"/>
  <c r="V23" i="60"/>
  <c r="V27" i="60"/>
  <c r="R32" i="60"/>
  <c r="R36" i="60"/>
  <c r="V43" i="60"/>
  <c r="J53" i="60"/>
  <c r="L57" i="60"/>
  <c r="J59" i="60"/>
  <c r="V53" i="61"/>
  <c r="V41" i="61"/>
  <c r="V44" i="61"/>
  <c r="V36" i="61"/>
  <c r="V32" i="61"/>
  <c r="Z12" i="61"/>
  <c r="V55" i="61"/>
  <c r="V43" i="61"/>
  <c r="V27" i="61"/>
  <c r="V23" i="61"/>
  <c r="V19" i="61"/>
  <c r="V60" i="61"/>
  <c r="V58" i="61"/>
  <c r="V56" i="61"/>
  <c r="V48" i="61"/>
  <c r="V28" i="61"/>
  <c r="V24" i="61"/>
  <c r="V47" i="61"/>
  <c r="V49" i="61"/>
  <c r="V25" i="61"/>
  <c r="V21" i="61"/>
  <c r="V42" i="61"/>
  <c r="V26" i="61"/>
  <c r="H16" i="61"/>
  <c r="L16" i="61" s="1"/>
  <c r="R18" i="61"/>
  <c r="N29" i="61"/>
  <c r="V40" i="61"/>
  <c r="J47" i="61"/>
  <c r="L55" i="61"/>
  <c r="Z31" i="62"/>
  <c r="N66" i="62"/>
  <c r="Z75" i="62"/>
  <c r="N81" i="62"/>
  <c r="F92" i="62"/>
  <c r="N99" i="62"/>
  <c r="R18" i="63"/>
  <c r="R46" i="63"/>
  <c r="Z73" i="64"/>
  <c r="T73" i="65"/>
  <c r="J31" i="57"/>
  <c r="J35" i="57"/>
  <c r="J39" i="57"/>
  <c r="J47" i="57"/>
  <c r="J55" i="57"/>
  <c r="J63" i="57"/>
  <c r="L12" i="58"/>
  <c r="P16" i="58"/>
  <c r="R20" i="58"/>
  <c r="J23" i="58"/>
  <c r="R24" i="58"/>
  <c r="J27" i="58"/>
  <c r="R28" i="58"/>
  <c r="F32" i="58"/>
  <c r="F36" i="58"/>
  <c r="F40" i="58"/>
  <c r="J41" i="58"/>
  <c r="R44" i="58"/>
  <c r="R45" i="58"/>
  <c r="V47" i="58"/>
  <c r="F51" i="58"/>
  <c r="F52" i="58"/>
  <c r="V55" i="58"/>
  <c r="J59" i="58"/>
  <c r="R60" i="58"/>
  <c r="R61" i="58"/>
  <c r="V63" i="58"/>
  <c r="R68" i="58"/>
  <c r="R69" i="58"/>
  <c r="V71" i="58"/>
  <c r="F78" i="58"/>
  <c r="L12" i="59"/>
  <c r="P16" i="59"/>
  <c r="R20" i="59"/>
  <c r="J23" i="59"/>
  <c r="R24" i="59"/>
  <c r="J27" i="59"/>
  <c r="R28" i="59"/>
  <c r="F32" i="59"/>
  <c r="F36" i="59"/>
  <c r="F40" i="59"/>
  <c r="J41" i="59"/>
  <c r="R44" i="59"/>
  <c r="J51" i="59"/>
  <c r="R60" i="59"/>
  <c r="R61" i="59"/>
  <c r="J67" i="59"/>
  <c r="V73" i="59"/>
  <c r="V75" i="59"/>
  <c r="V78" i="59"/>
  <c r="Z12" i="60"/>
  <c r="F21" i="60"/>
  <c r="F25" i="60"/>
  <c r="V32" i="60"/>
  <c r="V36" i="60"/>
  <c r="R41" i="60"/>
  <c r="R42" i="60"/>
  <c r="V44" i="60"/>
  <c r="R49" i="60"/>
  <c r="R50" i="60"/>
  <c r="F57" i="60"/>
  <c r="F63" i="60"/>
  <c r="L14" i="61"/>
  <c r="J16" i="61"/>
  <c r="Z18" i="61"/>
  <c r="J20" i="61"/>
  <c r="R27" i="61"/>
  <c r="J29" i="61"/>
  <c r="V45" i="61"/>
  <c r="R50" i="61"/>
  <c r="J52" i="61"/>
  <c r="J54" i="61"/>
  <c r="X55" i="61"/>
  <c r="J67" i="61"/>
  <c r="F43" i="62"/>
  <c r="F64" i="62"/>
  <c r="F103" i="62"/>
  <c r="Z18" i="63"/>
  <c r="X18" i="63"/>
  <c r="Z46" i="63"/>
  <c r="X46" i="63"/>
  <c r="N67" i="64"/>
  <c r="V70" i="65"/>
  <c r="F76" i="66"/>
  <c r="D16" i="60"/>
  <c r="Z50" i="60"/>
  <c r="Z79" i="62"/>
  <c r="Z14" i="63"/>
  <c r="X14" i="63"/>
  <c r="F59" i="66"/>
  <c r="J61" i="57"/>
  <c r="T16" i="58"/>
  <c r="R19" i="58"/>
  <c r="V33" i="58"/>
  <c r="V37" i="58"/>
  <c r="R42" i="58"/>
  <c r="R43" i="58"/>
  <c r="V45" i="58"/>
  <c r="F49" i="58"/>
  <c r="F50" i="58"/>
  <c r="J51" i="58"/>
  <c r="V53" i="58"/>
  <c r="J57" i="58"/>
  <c r="V61" i="58"/>
  <c r="J65" i="58"/>
  <c r="R66" i="58"/>
  <c r="R67" i="58"/>
  <c r="V69" i="58"/>
  <c r="T16" i="59"/>
  <c r="R19" i="59"/>
  <c r="F22" i="59"/>
  <c r="F26" i="59"/>
  <c r="V33" i="59"/>
  <c r="V37" i="59"/>
  <c r="R42" i="59"/>
  <c r="R43" i="59"/>
  <c r="J49" i="59"/>
  <c r="V53" i="59"/>
  <c r="J57" i="59"/>
  <c r="R58" i="59"/>
  <c r="R59" i="59"/>
  <c r="V61" i="59"/>
  <c r="J65" i="59"/>
  <c r="R69" i="59"/>
  <c r="R71" i="59"/>
  <c r="F14" i="60"/>
  <c r="F16" i="60"/>
  <c r="F18" i="60"/>
  <c r="V22" i="60"/>
  <c r="V26" i="60"/>
  <c r="R31" i="60"/>
  <c r="R35" i="60"/>
  <c r="R39" i="60"/>
  <c r="R40" i="60"/>
  <c r="V42" i="60"/>
  <c r="R47" i="60"/>
  <c r="R48" i="60"/>
  <c r="V50" i="60"/>
  <c r="F52" i="60"/>
  <c r="V53" i="60"/>
  <c r="R66" i="60"/>
  <c r="R16" i="61"/>
  <c r="J24" i="61"/>
  <c r="V37" i="61"/>
  <c r="V39" i="61"/>
  <c r="J41" i="61"/>
  <c r="V50" i="61"/>
  <c r="Z55" i="61"/>
  <c r="R62" i="61"/>
  <c r="V67" i="61"/>
  <c r="L19" i="62"/>
  <c r="N19" i="62" s="1"/>
  <c r="L54" i="62"/>
  <c r="N54" i="62" s="1"/>
  <c r="Z66" i="62"/>
  <c r="D12" i="64"/>
  <c r="L14" i="64"/>
  <c r="Z60" i="64"/>
  <c r="X60" i="64"/>
  <c r="F57" i="66"/>
  <c r="J46" i="57"/>
  <c r="J54" i="57"/>
  <c r="D69" i="57"/>
  <c r="L69" i="57" s="1"/>
  <c r="J74" i="57"/>
  <c r="V14" i="58"/>
  <c r="V16" i="58"/>
  <c r="V18" i="58"/>
  <c r="R23" i="58"/>
  <c r="R27" i="58"/>
  <c r="V42" i="58"/>
  <c r="J50" i="58"/>
  <c r="V54" i="58"/>
  <c r="R59" i="58"/>
  <c r="V66" i="58"/>
  <c r="J74" i="58"/>
  <c r="J76" i="58"/>
  <c r="R80" i="58"/>
  <c r="R83" i="58"/>
  <c r="V14" i="59"/>
  <c r="V16" i="59"/>
  <c r="V18" i="59"/>
  <c r="R23" i="59"/>
  <c r="R27" i="59"/>
  <c r="V42" i="59"/>
  <c r="F46" i="59"/>
  <c r="F47" i="59"/>
  <c r="R51" i="59"/>
  <c r="R52" i="59"/>
  <c r="F55" i="59"/>
  <c r="J56" i="59"/>
  <c r="V58" i="59"/>
  <c r="X61" i="59"/>
  <c r="Z61" i="59" s="1"/>
  <c r="F63" i="59"/>
  <c r="J64" i="59"/>
  <c r="R67" i="59"/>
  <c r="F19" i="60"/>
  <c r="F20" i="60"/>
  <c r="F24" i="60"/>
  <c r="F28" i="60"/>
  <c r="V31" i="60"/>
  <c r="V35" i="60"/>
  <c r="V39" i="60"/>
  <c r="X42" i="60"/>
  <c r="Z42" i="60" s="1"/>
  <c r="V47" i="60"/>
  <c r="X50" i="60"/>
  <c r="X57" i="60"/>
  <c r="V59" i="60"/>
  <c r="Z29" i="61"/>
  <c r="J44" i="61"/>
  <c r="V52" i="61"/>
  <c r="R54" i="61"/>
  <c r="R58" i="61"/>
  <c r="V62" i="61"/>
  <c r="X19" i="62"/>
  <c r="Z19" i="62" s="1"/>
  <c r="N58" i="64"/>
  <c r="H119" i="66"/>
  <c r="J45" i="57"/>
  <c r="X50" i="57"/>
  <c r="J72" i="57"/>
  <c r="X12" i="58"/>
  <c r="V19" i="58"/>
  <c r="V23" i="58"/>
  <c r="V27" i="58"/>
  <c r="J31" i="58"/>
  <c r="R32" i="58"/>
  <c r="J35" i="58"/>
  <c r="R36" i="58"/>
  <c r="J39" i="58"/>
  <c r="R40" i="58"/>
  <c r="R41" i="58"/>
  <c r="V43" i="58"/>
  <c r="F47" i="58"/>
  <c r="F48" i="58"/>
  <c r="J49" i="58"/>
  <c r="R52" i="58"/>
  <c r="F56" i="58"/>
  <c r="V59" i="58"/>
  <c r="F63" i="58"/>
  <c r="F64" i="58"/>
  <c r="V67" i="58"/>
  <c r="F71" i="58"/>
  <c r="R78" i="58"/>
  <c r="X12" i="59"/>
  <c r="V19" i="59"/>
  <c r="V23" i="59"/>
  <c r="V27" i="59"/>
  <c r="J31" i="59"/>
  <c r="R32" i="59"/>
  <c r="J35" i="59"/>
  <c r="R36" i="59"/>
  <c r="J39" i="59"/>
  <c r="R40" i="59"/>
  <c r="R41" i="59"/>
  <c r="V43" i="59"/>
  <c r="J47" i="59"/>
  <c r="V51" i="59"/>
  <c r="J55" i="59"/>
  <c r="V59" i="59"/>
  <c r="V67" i="59"/>
  <c r="V69" i="59"/>
  <c r="V71" i="59"/>
  <c r="F75" i="59"/>
  <c r="F78" i="59"/>
  <c r="R21" i="60"/>
  <c r="R25" i="60"/>
  <c r="F33" i="60"/>
  <c r="F37" i="60"/>
  <c r="V40" i="60"/>
  <c r="F44" i="60"/>
  <c r="V48" i="60"/>
  <c r="R57" i="60"/>
  <c r="V16" i="61"/>
  <c r="J28" i="61"/>
  <c r="V29" i="61"/>
  <c r="V31" i="61"/>
  <c r="V54" i="61"/>
  <c r="N49" i="62"/>
  <c r="L49" i="62"/>
  <c r="Z64" i="62"/>
  <c r="N70" i="62"/>
  <c r="Z96" i="62"/>
  <c r="N40" i="63"/>
  <c r="L40" i="63"/>
  <c r="J60" i="57"/>
  <c r="V32" i="58"/>
  <c r="V36" i="58"/>
  <c r="V40" i="58"/>
  <c r="V52" i="58"/>
  <c r="J56" i="58"/>
  <c r="R57" i="58"/>
  <c r="R58" i="58"/>
  <c r="J64" i="58"/>
  <c r="V78" i="58"/>
  <c r="V80" i="58"/>
  <c r="V32" i="59"/>
  <c r="V36" i="59"/>
  <c r="V40" i="59"/>
  <c r="R49" i="59"/>
  <c r="R50" i="59"/>
  <c r="R57" i="59"/>
  <c r="R65" i="59"/>
  <c r="F55" i="60"/>
  <c r="F54" i="60"/>
  <c r="R38" i="60"/>
  <c r="R46" i="60"/>
  <c r="F51" i="60"/>
  <c r="R52" i="60"/>
  <c r="F61" i="60"/>
  <c r="R63" i="60"/>
  <c r="X14" i="61"/>
  <c r="L18" i="61"/>
  <c r="N18" i="61" s="1"/>
  <c r="N19" i="61"/>
  <c r="J46" i="61"/>
  <c r="R49" i="61"/>
  <c r="J56" i="61"/>
  <c r="R56" i="63"/>
  <c r="R55" i="63"/>
  <c r="R48" i="63"/>
  <c r="R47" i="63"/>
  <c r="R38" i="63"/>
  <c r="R34" i="63"/>
  <c r="R30" i="63"/>
  <c r="R58" i="63"/>
  <c r="R57" i="63"/>
  <c r="R49" i="63"/>
  <c r="R25" i="63"/>
  <c r="R21" i="63"/>
  <c r="R59" i="63"/>
  <c r="R40" i="63"/>
  <c r="R39" i="63"/>
  <c r="R35" i="63"/>
  <c r="R31" i="63"/>
  <c r="R63" i="63"/>
  <c r="R61" i="63"/>
  <c r="R51" i="63"/>
  <c r="R50" i="63"/>
  <c r="R26" i="63"/>
  <c r="R22" i="63"/>
  <c r="R42" i="63"/>
  <c r="R41" i="63"/>
  <c r="R52" i="63"/>
  <c r="R36" i="63"/>
  <c r="R32" i="63"/>
  <c r="X12" i="63"/>
  <c r="R65" i="63"/>
  <c r="R44" i="63"/>
  <c r="R43" i="63"/>
  <c r="R27" i="63"/>
  <c r="R23" i="63"/>
  <c r="R70" i="63"/>
  <c r="R67" i="63"/>
  <c r="R29" i="63"/>
  <c r="R28" i="63"/>
  <c r="R24" i="63"/>
  <c r="R20" i="63"/>
  <c r="P16" i="63"/>
  <c r="T16" i="63"/>
  <c r="P12" i="64"/>
  <c r="L38" i="64"/>
  <c r="N38" i="64" s="1"/>
  <c r="J38" i="64"/>
  <c r="N47" i="64"/>
  <c r="Z58" i="64"/>
  <c r="F46" i="61"/>
  <c r="F47" i="61"/>
  <c r="V14" i="62"/>
  <c r="R23" i="62"/>
  <c r="R27" i="62"/>
  <c r="V42" i="62"/>
  <c r="V50" i="62"/>
  <c r="R59" i="62"/>
  <c r="R60" i="62"/>
  <c r="V62" i="62"/>
  <c r="R71" i="62"/>
  <c r="R83" i="62"/>
  <c r="R87" i="62"/>
  <c r="R95" i="62"/>
  <c r="R96" i="62"/>
  <c r="J23" i="63"/>
  <c r="J27" i="63"/>
  <c r="F32" i="63"/>
  <c r="F36" i="63"/>
  <c r="J43" i="63"/>
  <c r="V47" i="63"/>
  <c r="F51" i="63"/>
  <c r="F52" i="63"/>
  <c r="V55" i="63"/>
  <c r="F61" i="63"/>
  <c r="F63" i="63"/>
  <c r="J65" i="63"/>
  <c r="J26" i="64"/>
  <c r="J30" i="64"/>
  <c r="H35" i="64"/>
  <c r="V50" i="64"/>
  <c r="V54" i="64"/>
  <c r="V62" i="64"/>
  <c r="J66" i="64"/>
  <c r="Z69" i="64"/>
  <c r="L79" i="64"/>
  <c r="N79" i="64" s="1"/>
  <c r="J86" i="64"/>
  <c r="V15" i="65"/>
  <c r="V31" i="65"/>
  <c r="L45" i="65"/>
  <c r="V52" i="65"/>
  <c r="L61" i="65"/>
  <c r="V114" i="66"/>
  <c r="V112" i="66"/>
  <c r="V104" i="66"/>
  <c r="V80" i="66"/>
  <c r="V56" i="66"/>
  <c r="V52" i="66"/>
  <c r="V48" i="66"/>
  <c r="V44" i="66"/>
  <c r="V40" i="66"/>
  <c r="V36" i="66"/>
  <c r="V115" i="66"/>
  <c r="V99" i="66"/>
  <c r="V91" i="66"/>
  <c r="V75" i="66"/>
  <c r="V71" i="66"/>
  <c r="T54" i="66"/>
  <c r="V116" i="66"/>
  <c r="V106" i="66"/>
  <c r="V98" i="66"/>
  <c r="V90" i="66"/>
  <c r="V82" i="66"/>
  <c r="V66" i="66"/>
  <c r="V62" i="66"/>
  <c r="V58" i="66"/>
  <c r="V117" i="66"/>
  <c r="V105" i="66"/>
  <c r="V100" i="66"/>
  <c r="V92" i="66"/>
  <c r="V84" i="66"/>
  <c r="V76" i="66"/>
  <c r="V72" i="66"/>
  <c r="V68" i="66"/>
  <c r="V107" i="66"/>
  <c r="V83" i="66"/>
  <c r="V67" i="66"/>
  <c r="V63" i="66"/>
  <c r="V59" i="66"/>
  <c r="V102" i="66"/>
  <c r="V94" i="66"/>
  <c r="V86" i="66"/>
  <c r="V50" i="66"/>
  <c r="V46" i="66"/>
  <c r="V42" i="66"/>
  <c r="V38" i="66"/>
  <c r="V121" i="66"/>
  <c r="V109" i="66"/>
  <c r="V101" i="66"/>
  <c r="V93" i="66"/>
  <c r="V108" i="66"/>
  <c r="V96" i="66"/>
  <c r="V88" i="66"/>
  <c r="V64" i="66"/>
  <c r="V60" i="66"/>
  <c r="V97" i="66"/>
  <c r="V89" i="66"/>
  <c r="V81" i="66"/>
  <c r="V65" i="66"/>
  <c r="V61" i="66"/>
  <c r="V57" i="66"/>
  <c r="V73" i="66"/>
  <c r="Z79" i="66"/>
  <c r="V111" i="66"/>
  <c r="V19" i="67"/>
  <c r="V56" i="67"/>
  <c r="Z80" i="69"/>
  <c r="Z110" i="69"/>
  <c r="X110" i="69"/>
  <c r="V80" i="64"/>
  <c r="V86" i="64"/>
  <c r="V75" i="64"/>
  <c r="V85" i="64"/>
  <c r="V73" i="64"/>
  <c r="V40" i="64"/>
  <c r="V44" i="64"/>
  <c r="V60" i="64"/>
  <c r="V77" i="64"/>
  <c r="R76" i="67"/>
  <c r="R47" i="67"/>
  <c r="R46" i="67"/>
  <c r="R42" i="67"/>
  <c r="R38" i="67"/>
  <c r="R19" i="67"/>
  <c r="R81" i="67"/>
  <c r="R78" i="67"/>
  <c r="R65" i="67"/>
  <c r="R58" i="67"/>
  <c r="R57" i="67"/>
  <c r="R33" i="67"/>
  <c r="R29" i="67"/>
  <c r="R49" i="67"/>
  <c r="R48" i="67"/>
  <c r="R20" i="67"/>
  <c r="R60" i="67"/>
  <c r="R59" i="67"/>
  <c r="R43" i="67"/>
  <c r="R39" i="67"/>
  <c r="R67" i="67"/>
  <c r="R66" i="67"/>
  <c r="R51" i="67"/>
  <c r="R50" i="67"/>
  <c r="R34" i="67"/>
  <c r="R30" i="67"/>
  <c r="R61" i="67"/>
  <c r="R26" i="67"/>
  <c r="R21" i="67"/>
  <c r="R69" i="67"/>
  <c r="R68" i="67"/>
  <c r="R53" i="67"/>
  <c r="R52" i="67"/>
  <c r="R44" i="67"/>
  <c r="R40" i="67"/>
  <c r="R25" i="67"/>
  <c r="R23" i="67"/>
  <c r="R36" i="67"/>
  <c r="R35" i="67"/>
  <c r="R31" i="67"/>
  <c r="R27" i="67"/>
  <c r="P23" i="67"/>
  <c r="R70" i="67"/>
  <c r="R62" i="67"/>
  <c r="R55" i="67"/>
  <c r="R54" i="67"/>
  <c r="X12" i="67"/>
  <c r="R64" i="67"/>
  <c r="R63" i="67"/>
  <c r="Z26" i="67"/>
  <c r="Z60" i="67"/>
  <c r="N67" i="67"/>
  <c r="L67" i="67"/>
  <c r="F54" i="61"/>
  <c r="R22" i="62"/>
  <c r="R26" i="62"/>
  <c r="R30" i="62"/>
  <c r="R31" i="62"/>
  <c r="R46" i="62"/>
  <c r="R47" i="62"/>
  <c r="V49" i="62"/>
  <c r="V57" i="62"/>
  <c r="V69" i="62"/>
  <c r="R74" i="62"/>
  <c r="R75" i="62"/>
  <c r="R82" i="62"/>
  <c r="R86" i="62"/>
  <c r="R94" i="62"/>
  <c r="R107" i="62"/>
  <c r="R110" i="62"/>
  <c r="V14" i="63"/>
  <c r="V16" i="63"/>
  <c r="V18" i="63"/>
  <c r="J22" i="63"/>
  <c r="J26" i="63"/>
  <c r="F31" i="63"/>
  <c r="F35" i="63"/>
  <c r="F39" i="63"/>
  <c r="J40" i="63"/>
  <c r="V46" i="63"/>
  <c r="J50" i="63"/>
  <c r="V54" i="63"/>
  <c r="F58" i="63"/>
  <c r="F59" i="63"/>
  <c r="J29" i="64"/>
  <c r="J33" i="64"/>
  <c r="J47" i="64"/>
  <c r="V49" i="64"/>
  <c r="V53" i="64"/>
  <c r="V57" i="64"/>
  <c r="J65" i="64"/>
  <c r="V72" i="64"/>
  <c r="X73" i="64"/>
  <c r="V87" i="64"/>
  <c r="X13" i="65"/>
  <c r="Z13" i="65" s="1"/>
  <c r="P12" i="65"/>
  <c r="V22" i="65"/>
  <c r="V35" i="65"/>
  <c r="N88" i="66"/>
  <c r="V103" i="66"/>
  <c r="V65" i="67"/>
  <c r="V57" i="67"/>
  <c r="V49" i="67"/>
  <c r="V33" i="67"/>
  <c r="V29" i="67"/>
  <c r="V60" i="67"/>
  <c r="V48" i="67"/>
  <c r="V20" i="67"/>
  <c r="V67" i="67"/>
  <c r="V59" i="67"/>
  <c r="V51" i="67"/>
  <c r="V43" i="67"/>
  <c r="V39" i="67"/>
  <c r="V66" i="67"/>
  <c r="V50" i="67"/>
  <c r="V34" i="67"/>
  <c r="V30" i="67"/>
  <c r="V26" i="67"/>
  <c r="V69" i="67"/>
  <c r="V61" i="67"/>
  <c r="V53" i="67"/>
  <c r="V25" i="67"/>
  <c r="V23" i="67"/>
  <c r="V21" i="67"/>
  <c r="V68" i="67"/>
  <c r="V52" i="67"/>
  <c r="V44" i="67"/>
  <c r="V40" i="67"/>
  <c r="V36" i="67"/>
  <c r="T23" i="67"/>
  <c r="V55" i="67"/>
  <c r="V35" i="67"/>
  <c r="V31" i="67"/>
  <c r="V27" i="67"/>
  <c r="V72" i="67"/>
  <c r="V70" i="67"/>
  <c r="V62" i="67"/>
  <c r="V54" i="67"/>
  <c r="Z12" i="67"/>
  <c r="V45" i="67"/>
  <c r="V41" i="67"/>
  <c r="V37" i="67"/>
  <c r="V76" i="67"/>
  <c r="V58" i="67"/>
  <c r="V46" i="67"/>
  <c r="V42" i="67"/>
  <c r="V38" i="67"/>
  <c r="R65" i="69"/>
  <c r="R141" i="69"/>
  <c r="H79" i="73"/>
  <c r="V94" i="62"/>
  <c r="R105" i="62"/>
  <c r="V26" i="64"/>
  <c r="V30" i="64"/>
  <c r="L47" i="64"/>
  <c r="V58" i="64"/>
  <c r="V66" i="64"/>
  <c r="V67" i="64"/>
  <c r="N51" i="67"/>
  <c r="L51" i="67"/>
  <c r="N79" i="69"/>
  <c r="F32" i="61"/>
  <c r="F36" i="61"/>
  <c r="V31" i="62"/>
  <c r="V35" i="62"/>
  <c r="V39" i="62"/>
  <c r="V47" i="62"/>
  <c r="V55" i="62"/>
  <c r="V67" i="62"/>
  <c r="V75" i="62"/>
  <c r="R80" i="62"/>
  <c r="R81" i="62"/>
  <c r="R92" i="62"/>
  <c r="R93" i="62"/>
  <c r="V105" i="62"/>
  <c r="V107" i="62"/>
  <c r="V110" i="62"/>
  <c r="Z12" i="63"/>
  <c r="F21" i="63"/>
  <c r="F25" i="63"/>
  <c r="V32" i="63"/>
  <c r="V36" i="63"/>
  <c r="V44" i="63"/>
  <c r="F48" i="63"/>
  <c r="F49" i="63"/>
  <c r="V52" i="63"/>
  <c r="F56" i="63"/>
  <c r="F57" i="63"/>
  <c r="J58" i="63"/>
  <c r="V39" i="64"/>
  <c r="V43" i="64"/>
  <c r="J51" i="64"/>
  <c r="J55" i="64"/>
  <c r="J63" i="64"/>
  <c r="J70" i="64"/>
  <c r="J81" i="64"/>
  <c r="V82" i="64"/>
  <c r="J85" i="64"/>
  <c r="F26" i="65"/>
  <c r="F34" i="65"/>
  <c r="F44" i="65"/>
  <c r="X13" i="66"/>
  <c r="Z13" i="66" s="1"/>
  <c r="P12" i="66"/>
  <c r="V39" i="66"/>
  <c r="V74" i="66"/>
  <c r="X86" i="66"/>
  <c r="Z94" i="66"/>
  <c r="X96" i="66"/>
  <c r="Z96" i="66" s="1"/>
  <c r="L106" i="66"/>
  <c r="N106" i="66" s="1"/>
  <c r="V110" i="66"/>
  <c r="N49" i="67"/>
  <c r="R72" i="67"/>
  <c r="J79" i="69"/>
  <c r="X90" i="69"/>
  <c r="Z90" i="69" s="1"/>
  <c r="F40" i="61"/>
  <c r="F41" i="61"/>
  <c r="F52" i="61"/>
  <c r="F53" i="61"/>
  <c r="F64" i="61"/>
  <c r="F67" i="61"/>
  <c r="R21" i="62"/>
  <c r="R25" i="62"/>
  <c r="R29" i="62"/>
  <c r="R45" i="62"/>
  <c r="R53" i="62"/>
  <c r="R54" i="62"/>
  <c r="V56" i="62"/>
  <c r="R65" i="62"/>
  <c r="R66" i="62"/>
  <c r="V68" i="62"/>
  <c r="R73" i="62"/>
  <c r="V80" i="62"/>
  <c r="R85" i="62"/>
  <c r="V92" i="62"/>
  <c r="P103" i="62"/>
  <c r="D16" i="63"/>
  <c r="J25" i="63"/>
  <c r="F29" i="63"/>
  <c r="F30" i="63"/>
  <c r="F34" i="63"/>
  <c r="F38" i="63"/>
  <c r="V41" i="63"/>
  <c r="J49" i="63"/>
  <c r="J57" i="63"/>
  <c r="J28" i="64"/>
  <c r="J32" i="64"/>
  <c r="T35" i="64"/>
  <c r="V35" i="64" s="1"/>
  <c r="V48" i="64"/>
  <c r="V52" i="64"/>
  <c r="V56" i="64"/>
  <c r="J62" i="64"/>
  <c r="V79" i="64"/>
  <c r="J88" i="64"/>
  <c r="F66" i="65"/>
  <c r="F64" i="65"/>
  <c r="F39" i="65"/>
  <c r="F35" i="65"/>
  <c r="F31" i="65"/>
  <c r="F30" i="65"/>
  <c r="F68" i="65"/>
  <c r="F58" i="65"/>
  <c r="F57" i="65"/>
  <c r="F50" i="65"/>
  <c r="F49" i="65"/>
  <c r="F20" i="65"/>
  <c r="F18" i="65"/>
  <c r="F73" i="65"/>
  <c r="F70" i="65"/>
  <c r="F59" i="65"/>
  <c r="F42" i="65"/>
  <c r="F41" i="65"/>
  <c r="F53" i="65"/>
  <c r="F37" i="65"/>
  <c r="F33" i="65"/>
  <c r="F56" i="65"/>
  <c r="F48" i="65"/>
  <c r="F47" i="65"/>
  <c r="F16" i="65"/>
  <c r="F15" i="65"/>
  <c r="V39" i="65"/>
  <c r="L47" i="65"/>
  <c r="V73" i="65"/>
  <c r="N36" i="66"/>
  <c r="J36" i="66"/>
  <c r="L56" i="66"/>
  <c r="N56" i="66" s="1"/>
  <c r="Z86" i="66"/>
  <c r="Z88" i="66"/>
  <c r="N99" i="66"/>
  <c r="D114" i="66"/>
  <c r="L114" i="66" s="1"/>
  <c r="N114" i="66" s="1"/>
  <c r="R32" i="67"/>
  <c r="F68" i="67"/>
  <c r="D12" i="69"/>
  <c r="L13" i="69"/>
  <c r="N13" i="69" s="1"/>
  <c r="V65" i="62"/>
  <c r="V73" i="62"/>
  <c r="V81" i="62"/>
  <c r="V85" i="62"/>
  <c r="R90" i="62"/>
  <c r="R91" i="62"/>
  <c r="V93" i="62"/>
  <c r="R103" i="62"/>
  <c r="V25" i="64"/>
  <c r="V29" i="64"/>
  <c r="V33" i="64"/>
  <c r="V37" i="64"/>
  <c r="V65" i="64"/>
  <c r="V71" i="64"/>
  <c r="J74" i="64"/>
  <c r="N84" i="64"/>
  <c r="V90" i="64"/>
  <c r="V51" i="65"/>
  <c r="V58" i="65"/>
  <c r="V68" i="65"/>
  <c r="Z106" i="66"/>
  <c r="V32" i="67"/>
  <c r="R45" i="67"/>
  <c r="R143" i="69"/>
  <c r="R142" i="69"/>
  <c r="R131" i="69"/>
  <c r="R130" i="69"/>
  <c r="R115" i="69"/>
  <c r="R114" i="69"/>
  <c r="R155" i="69"/>
  <c r="R125" i="69"/>
  <c r="R90" i="69"/>
  <c r="R89" i="69"/>
  <c r="R85" i="69"/>
  <c r="R81" i="69"/>
  <c r="R144" i="69"/>
  <c r="R136" i="69"/>
  <c r="R132" i="69"/>
  <c r="R117" i="69"/>
  <c r="R116" i="69"/>
  <c r="R108" i="69"/>
  <c r="R99" i="69"/>
  <c r="R95" i="69"/>
  <c r="R91" i="69"/>
  <c r="R145" i="69"/>
  <c r="R137" i="69"/>
  <c r="R133" i="69"/>
  <c r="R148" i="69"/>
  <c r="R147" i="69"/>
  <c r="R101" i="69"/>
  <c r="R100" i="69"/>
  <c r="R96" i="69"/>
  <c r="R92" i="69"/>
  <c r="R150" i="69"/>
  <c r="R139" i="69"/>
  <c r="R138" i="69"/>
  <c r="R134" i="69"/>
  <c r="R103" i="69"/>
  <c r="R102" i="69"/>
  <c r="R74" i="69"/>
  <c r="R70" i="69"/>
  <c r="R66" i="69"/>
  <c r="R62" i="69"/>
  <c r="R58" i="69"/>
  <c r="R151" i="69"/>
  <c r="R129" i="69"/>
  <c r="R122" i="69"/>
  <c r="R121" i="69"/>
  <c r="R113" i="69"/>
  <c r="R97" i="69"/>
  <c r="R93" i="69"/>
  <c r="R135" i="69"/>
  <c r="R124" i="69"/>
  <c r="R123" i="69"/>
  <c r="R80" i="69"/>
  <c r="R72" i="69"/>
  <c r="R56" i="69"/>
  <c r="X12" i="69"/>
  <c r="Z12" i="69" s="1"/>
  <c r="R106" i="69"/>
  <c r="R83" i="69"/>
  <c r="R75" i="69"/>
  <c r="R69" i="69"/>
  <c r="R63" i="69"/>
  <c r="R60" i="69"/>
  <c r="R52" i="69"/>
  <c r="R119" i="69"/>
  <c r="R88" i="69"/>
  <c r="R57" i="69"/>
  <c r="R53" i="69"/>
  <c r="R127" i="69"/>
  <c r="R86" i="69"/>
  <c r="P77" i="69"/>
  <c r="R64" i="69"/>
  <c r="R149" i="69"/>
  <c r="R111" i="69"/>
  <c r="R107" i="69"/>
  <c r="R73" i="69"/>
  <c r="R67" i="69"/>
  <c r="R104" i="69"/>
  <c r="R79" i="69"/>
  <c r="R61" i="69"/>
  <c r="R54" i="69"/>
  <c r="R140" i="69"/>
  <c r="R120" i="69"/>
  <c r="R109" i="69"/>
  <c r="R84" i="69"/>
  <c r="R82" i="69"/>
  <c r="R128" i="69"/>
  <c r="R68" i="69"/>
  <c r="R98" i="69"/>
  <c r="R99" i="71"/>
  <c r="R98" i="71"/>
  <c r="R46" i="71"/>
  <c r="R42" i="71"/>
  <c r="R38" i="71"/>
  <c r="R34" i="71"/>
  <c r="R94" i="71"/>
  <c r="R93" i="71"/>
  <c r="R74" i="71"/>
  <c r="R73" i="71"/>
  <c r="R69" i="71"/>
  <c r="R65" i="71"/>
  <c r="R101" i="71"/>
  <c r="R100" i="71"/>
  <c r="R85" i="71"/>
  <c r="R84" i="71"/>
  <c r="R60" i="71"/>
  <c r="R56" i="71"/>
  <c r="R95" i="71"/>
  <c r="R76" i="71"/>
  <c r="R75" i="71"/>
  <c r="R52" i="71"/>
  <c r="R47" i="71"/>
  <c r="R43" i="71"/>
  <c r="R39" i="71"/>
  <c r="R35" i="71"/>
  <c r="R102" i="71"/>
  <c r="R87" i="71"/>
  <c r="R86" i="71"/>
  <c r="R70" i="71"/>
  <c r="R66" i="71"/>
  <c r="R51" i="71"/>
  <c r="R105" i="71"/>
  <c r="R78" i="71"/>
  <c r="R77" i="71"/>
  <c r="R61" i="71"/>
  <c r="R57" i="71"/>
  <c r="R53" i="71"/>
  <c r="P49" i="71"/>
  <c r="R49" i="71" s="1"/>
  <c r="R106" i="71"/>
  <c r="R96" i="71"/>
  <c r="R89" i="71"/>
  <c r="R88" i="71"/>
  <c r="R44" i="71"/>
  <c r="R40" i="71"/>
  <c r="R36" i="71"/>
  <c r="R80" i="71"/>
  <c r="R79" i="71"/>
  <c r="R71" i="71"/>
  <c r="R67" i="71"/>
  <c r="R90" i="71"/>
  <c r="R63" i="71"/>
  <c r="R62" i="71"/>
  <c r="R58" i="71"/>
  <c r="R54" i="71"/>
  <c r="X12" i="71"/>
  <c r="Z12" i="71" s="1"/>
  <c r="R97" i="71"/>
  <c r="R82" i="71"/>
  <c r="R81" i="71"/>
  <c r="R45" i="71"/>
  <c r="R41" i="71"/>
  <c r="R37" i="71"/>
  <c r="R92" i="71"/>
  <c r="R91" i="71"/>
  <c r="R83" i="71"/>
  <c r="R59" i="71"/>
  <c r="R55" i="71"/>
  <c r="R110" i="71"/>
  <c r="R33" i="71"/>
  <c r="R72" i="71"/>
  <c r="R68" i="71"/>
  <c r="R64" i="71"/>
  <c r="H16" i="63"/>
  <c r="V38" i="64"/>
  <c r="V42" i="64"/>
  <c r="V46" i="64"/>
  <c r="J54" i="64"/>
  <c r="J60" i="64"/>
  <c r="J69" i="64"/>
  <c r="V70" i="64"/>
  <c r="V76" i="64"/>
  <c r="V78" i="64"/>
  <c r="L84" i="64"/>
  <c r="V50" i="65"/>
  <c r="F62" i="65"/>
  <c r="V77" i="66"/>
  <c r="R41" i="67"/>
  <c r="R74" i="67"/>
  <c r="R105" i="69"/>
  <c r="X124" i="69"/>
  <c r="F62" i="61"/>
  <c r="V15" i="62"/>
  <c r="V17" i="62"/>
  <c r="V19" i="62"/>
  <c r="R24" i="62"/>
  <c r="R28" i="62"/>
  <c r="V43" i="62"/>
  <c r="V51" i="62"/>
  <c r="X54" i="62"/>
  <c r="Z54" i="62" s="1"/>
  <c r="L60" i="62"/>
  <c r="N60" i="62" s="1"/>
  <c r="V63" i="62"/>
  <c r="X66" i="62"/>
  <c r="R72" i="62"/>
  <c r="V79" i="62"/>
  <c r="R84" i="62"/>
  <c r="R88" i="62"/>
  <c r="R89" i="62"/>
  <c r="V91" i="62"/>
  <c r="L96" i="62"/>
  <c r="N96" i="62" s="1"/>
  <c r="R99" i="62"/>
  <c r="R100" i="62"/>
  <c r="V101" i="62"/>
  <c r="V103" i="62"/>
  <c r="L29" i="63"/>
  <c r="F33" i="63"/>
  <c r="F37" i="63"/>
  <c r="V40" i="63"/>
  <c r="F44" i="63"/>
  <c r="F45" i="63"/>
  <c r="J46" i="63"/>
  <c r="X51" i="63"/>
  <c r="F53" i="63"/>
  <c r="J54" i="63"/>
  <c r="X61" i="63"/>
  <c r="J27" i="64"/>
  <c r="J31" i="64"/>
  <c r="X38" i="64"/>
  <c r="Z38" i="64" s="1"/>
  <c r="V47" i="64"/>
  <c r="V51" i="64"/>
  <c r="V55" i="64"/>
  <c r="J59" i="64"/>
  <c r="L60" i="64"/>
  <c r="V63" i="64"/>
  <c r="J68" i="64"/>
  <c r="L69" i="64"/>
  <c r="V81" i="64"/>
  <c r="V88" i="64"/>
  <c r="V54" i="65"/>
  <c r="V42" i="65"/>
  <c r="V61" i="65"/>
  <c r="V53" i="65"/>
  <c r="V45" i="65"/>
  <c r="V60" i="65"/>
  <c r="V44" i="65"/>
  <c r="V28" i="65"/>
  <c r="V24" i="65"/>
  <c r="V66" i="65"/>
  <c r="V64" i="65"/>
  <c r="V62" i="65"/>
  <c r="V46" i="65"/>
  <c r="V38" i="65"/>
  <c r="V34" i="65"/>
  <c r="V30" i="65"/>
  <c r="V57" i="65"/>
  <c r="V49" i="65"/>
  <c r="V29" i="65"/>
  <c r="V25" i="65"/>
  <c r="V21" i="65"/>
  <c r="V56" i="65"/>
  <c r="V48" i="65"/>
  <c r="V20" i="65"/>
  <c r="V18" i="65"/>
  <c r="V16" i="65"/>
  <c r="V59" i="65"/>
  <c r="V43" i="65"/>
  <c r="V27" i="65"/>
  <c r="V23" i="65"/>
  <c r="D66" i="65"/>
  <c r="L18" i="65"/>
  <c r="V26" i="65"/>
  <c r="F43" i="65"/>
  <c r="F52" i="65"/>
  <c r="L16" i="66"/>
  <c r="V70" i="66"/>
  <c r="V95" i="66"/>
  <c r="R37" i="67"/>
  <c r="V47" i="67"/>
  <c r="R112" i="69"/>
  <c r="Z124" i="69"/>
  <c r="F21" i="61"/>
  <c r="F25" i="61"/>
  <c r="F48" i="61"/>
  <c r="F49" i="61"/>
  <c r="F58" i="61"/>
  <c r="F60" i="61"/>
  <c r="V20" i="62"/>
  <c r="V24" i="62"/>
  <c r="V28" i="62"/>
  <c r="R33" i="62"/>
  <c r="R37" i="62"/>
  <c r="R41" i="62"/>
  <c r="R42" i="62"/>
  <c r="V44" i="62"/>
  <c r="V52" i="62"/>
  <c r="R61" i="62"/>
  <c r="R62" i="62"/>
  <c r="V64" i="62"/>
  <c r="V72" i="62"/>
  <c r="R77" i="62"/>
  <c r="X79" i="62"/>
  <c r="V84" i="62"/>
  <c r="V88" i="62"/>
  <c r="R97" i="62"/>
  <c r="V100" i="62"/>
  <c r="V25" i="63"/>
  <c r="J33" i="63"/>
  <c r="J37" i="63"/>
  <c r="J45" i="63"/>
  <c r="V49" i="63"/>
  <c r="J53" i="63"/>
  <c r="V57" i="63"/>
  <c r="J67" i="63"/>
  <c r="J70" i="63"/>
  <c r="J94" i="64"/>
  <c r="J84" i="64"/>
  <c r="J78" i="64"/>
  <c r="J73" i="64"/>
  <c r="J77" i="64"/>
  <c r="J67" i="64"/>
  <c r="V28" i="64"/>
  <c r="V32" i="64"/>
  <c r="J40" i="64"/>
  <c r="J44" i="64"/>
  <c r="J58" i="64"/>
  <c r="V64" i="64"/>
  <c r="J80" i="64"/>
  <c r="J87" i="64"/>
  <c r="V94" i="64"/>
  <c r="F25" i="65"/>
  <c r="V36" i="65"/>
  <c r="F40" i="65"/>
  <c r="V47" i="65"/>
  <c r="F54" i="65"/>
  <c r="V43" i="66"/>
  <c r="V87" i="66"/>
  <c r="R28" i="67"/>
  <c r="F44" i="67"/>
  <c r="R87" i="69"/>
  <c r="L81" i="70"/>
  <c r="N81" i="70" s="1"/>
  <c r="D80" i="70"/>
  <c r="L80" i="70" s="1"/>
  <c r="N80" i="70" s="1"/>
  <c r="F49" i="71"/>
  <c r="F29" i="61"/>
  <c r="F30" i="61"/>
  <c r="F34" i="61"/>
  <c r="V33" i="62"/>
  <c r="V37" i="62"/>
  <c r="V41" i="62"/>
  <c r="V61" i="62"/>
  <c r="V77" i="62"/>
  <c r="V89" i="62"/>
  <c r="V97" i="62"/>
  <c r="F23" i="63"/>
  <c r="F27" i="63"/>
  <c r="V30" i="63"/>
  <c r="V34" i="63"/>
  <c r="V38" i="63"/>
  <c r="F42" i="63"/>
  <c r="F43" i="63"/>
  <c r="V41" i="64"/>
  <c r="V45" i="64"/>
  <c r="J49" i="64"/>
  <c r="J53" i="64"/>
  <c r="J57" i="64"/>
  <c r="V61" i="64"/>
  <c r="J72" i="64"/>
  <c r="V74" i="64"/>
  <c r="F22" i="65"/>
  <c r="V41" i="65"/>
  <c r="V45" i="66"/>
  <c r="V79" i="66"/>
  <c r="V85" i="66"/>
  <c r="Z102" i="66"/>
  <c r="Z111" i="66"/>
  <c r="X111" i="66"/>
  <c r="F70" i="67"/>
  <c r="F69" i="67"/>
  <c r="F62" i="67"/>
  <c r="F54" i="67"/>
  <c r="F53" i="67"/>
  <c r="F25" i="67"/>
  <c r="F23" i="67"/>
  <c r="L12" i="67"/>
  <c r="F45" i="67"/>
  <c r="F41" i="67"/>
  <c r="F37" i="67"/>
  <c r="F36" i="67"/>
  <c r="D23" i="67"/>
  <c r="F56" i="67"/>
  <c r="F55" i="67"/>
  <c r="F32" i="67"/>
  <c r="F28" i="67"/>
  <c r="F74" i="67"/>
  <c r="F72" i="67"/>
  <c r="F63" i="67"/>
  <c r="F76" i="67"/>
  <c r="F46" i="67"/>
  <c r="F42" i="67"/>
  <c r="F38" i="67"/>
  <c r="F65" i="67"/>
  <c r="F64" i="67"/>
  <c r="F57" i="67"/>
  <c r="F33" i="67"/>
  <c r="F29" i="67"/>
  <c r="F48" i="67"/>
  <c r="F47" i="67"/>
  <c r="F20" i="67"/>
  <c r="F19" i="67"/>
  <c r="F81" i="67"/>
  <c r="F78" i="67"/>
  <c r="F59" i="67"/>
  <c r="F58" i="67"/>
  <c r="F43" i="67"/>
  <c r="F39" i="67"/>
  <c r="F66" i="67"/>
  <c r="F50" i="67"/>
  <c r="F49" i="67"/>
  <c r="F34" i="67"/>
  <c r="F30" i="67"/>
  <c r="F35" i="67"/>
  <c r="F31" i="67"/>
  <c r="F27" i="67"/>
  <c r="F26" i="67"/>
  <c r="N26" i="67"/>
  <c r="L26" i="67"/>
  <c r="V28" i="67"/>
  <c r="F40" i="67"/>
  <c r="R56" i="67"/>
  <c r="N60" i="67"/>
  <c r="X64" i="67"/>
  <c r="Z64" i="67" s="1"/>
  <c r="R94" i="69"/>
  <c r="R110" i="69"/>
  <c r="X75" i="70"/>
  <c r="Z75" i="70" s="1"/>
  <c r="J21" i="65"/>
  <c r="J31" i="65"/>
  <c r="J35" i="65"/>
  <c r="J39" i="65"/>
  <c r="J49" i="65"/>
  <c r="J57" i="65"/>
  <c r="J69" i="66"/>
  <c r="J73" i="66"/>
  <c r="J77" i="66"/>
  <c r="J85" i="66"/>
  <c r="J93" i="66"/>
  <c r="J101" i="66"/>
  <c r="J121" i="66"/>
  <c r="N12" i="67"/>
  <c r="H23" i="67"/>
  <c r="J36" i="67"/>
  <c r="J54" i="67"/>
  <c r="J62" i="67"/>
  <c r="J70" i="67"/>
  <c r="V52" i="69"/>
  <c r="V56" i="69"/>
  <c r="J68" i="69"/>
  <c r="V72" i="69"/>
  <c r="J74" i="69"/>
  <c r="V85" i="69"/>
  <c r="V100" i="69"/>
  <c r="N124" i="69"/>
  <c r="L124" i="69"/>
  <c r="J143" i="69"/>
  <c r="F96" i="71"/>
  <c r="F105" i="71"/>
  <c r="J92" i="66"/>
  <c r="J100" i="66"/>
  <c r="J106" i="66"/>
  <c r="J117" i="66"/>
  <c r="J51" i="67"/>
  <c r="J61" i="67"/>
  <c r="J67" i="67"/>
  <c r="V55" i="69"/>
  <c r="V65" i="69"/>
  <c r="J67" i="69"/>
  <c r="V71" i="69"/>
  <c r="V74" i="69"/>
  <c r="N107" i="69"/>
  <c r="Z112" i="69"/>
  <c r="V143" i="69"/>
  <c r="J147" i="69"/>
  <c r="D12" i="70"/>
  <c r="N56" i="70"/>
  <c r="F44" i="71"/>
  <c r="H153" i="69"/>
  <c r="V112" i="69"/>
  <c r="V122" i="69"/>
  <c r="V135" i="69"/>
  <c r="V138" i="69"/>
  <c r="F90" i="71"/>
  <c r="F89" i="71"/>
  <c r="F62" i="71"/>
  <c r="F58" i="71"/>
  <c r="F54" i="71"/>
  <c r="L12" i="71"/>
  <c r="F97" i="71"/>
  <c r="F81" i="71"/>
  <c r="F80" i="71"/>
  <c r="F45" i="71"/>
  <c r="F41" i="71"/>
  <c r="F37" i="71"/>
  <c r="F110" i="71"/>
  <c r="F72" i="71"/>
  <c r="F68" i="71"/>
  <c r="F64" i="71"/>
  <c r="F63" i="71"/>
  <c r="F91" i="71"/>
  <c r="F83" i="71"/>
  <c r="F82" i="71"/>
  <c r="F59" i="71"/>
  <c r="F55" i="71"/>
  <c r="F98" i="71"/>
  <c r="F46" i="71"/>
  <c r="F42" i="71"/>
  <c r="F38" i="71"/>
  <c r="F34" i="71"/>
  <c r="F33" i="71"/>
  <c r="F93" i="71"/>
  <c r="F92" i="71"/>
  <c r="F73" i="71"/>
  <c r="F69" i="71"/>
  <c r="F65" i="71"/>
  <c r="F100" i="71"/>
  <c r="F99" i="71"/>
  <c r="F84" i="71"/>
  <c r="F60" i="71"/>
  <c r="F56" i="71"/>
  <c r="F95" i="71"/>
  <c r="F94" i="71"/>
  <c r="F75" i="71"/>
  <c r="F74" i="71"/>
  <c r="F47" i="71"/>
  <c r="F43" i="71"/>
  <c r="F39" i="71"/>
  <c r="F35" i="71"/>
  <c r="F102" i="71"/>
  <c r="F101" i="71"/>
  <c r="F86" i="71"/>
  <c r="F85" i="71"/>
  <c r="F70" i="71"/>
  <c r="F66" i="71"/>
  <c r="F77" i="71"/>
  <c r="F76" i="71"/>
  <c r="F61" i="71"/>
  <c r="F57" i="71"/>
  <c r="F53" i="71"/>
  <c r="F52" i="71"/>
  <c r="F106" i="71"/>
  <c r="F104" i="71"/>
  <c r="F79" i="71"/>
  <c r="F78" i="71"/>
  <c r="F71" i="71"/>
  <c r="F67" i="71"/>
  <c r="D49" i="71"/>
  <c r="R77" i="74"/>
  <c r="R74" i="74"/>
  <c r="R61" i="74"/>
  <c r="R46" i="74"/>
  <c r="R45" i="74"/>
  <c r="R29" i="74"/>
  <c r="R25" i="74"/>
  <c r="R56" i="74"/>
  <c r="R48" i="74"/>
  <c r="R47" i="74"/>
  <c r="R39" i="74"/>
  <c r="R35" i="74"/>
  <c r="R63" i="74"/>
  <c r="R62" i="74"/>
  <c r="R31" i="74"/>
  <c r="R30" i="74"/>
  <c r="R26" i="74"/>
  <c r="X12" i="74"/>
  <c r="R58" i="74"/>
  <c r="R57" i="74"/>
  <c r="R50" i="74"/>
  <c r="R49" i="74"/>
  <c r="R65" i="74"/>
  <c r="R64" i="74"/>
  <c r="R40" i="74"/>
  <c r="R36" i="74"/>
  <c r="R32" i="74"/>
  <c r="R59" i="74"/>
  <c r="R52" i="74"/>
  <c r="R51" i="74"/>
  <c r="R66" i="74"/>
  <c r="R60" i="74"/>
  <c r="R28" i="74"/>
  <c r="R24" i="74"/>
  <c r="R72" i="74"/>
  <c r="R55" i="74"/>
  <c r="R54" i="74"/>
  <c r="R38" i="74"/>
  <c r="R34" i="74"/>
  <c r="R15" i="74"/>
  <c r="R37" i="74"/>
  <c r="P19" i="74"/>
  <c r="R33" i="74"/>
  <c r="R68" i="74"/>
  <c r="R16" i="74"/>
  <c r="R42" i="74"/>
  <c r="R21" i="74"/>
  <c r="R22" i="74"/>
  <c r="R43" i="74"/>
  <c r="R27" i="74"/>
  <c r="R17" i="74"/>
  <c r="R53" i="74"/>
  <c r="R70" i="74"/>
  <c r="R44" i="74"/>
  <c r="R23" i="74"/>
  <c r="R41" i="74"/>
  <c r="R19" i="74"/>
  <c r="J44" i="65"/>
  <c r="J54" i="65"/>
  <c r="J60" i="65"/>
  <c r="J54" i="66"/>
  <c r="J56" i="66"/>
  <c r="J58" i="66"/>
  <c r="J62" i="66"/>
  <c r="J66" i="66"/>
  <c r="J82" i="66"/>
  <c r="J90" i="66"/>
  <c r="J98" i="66"/>
  <c r="J114" i="66"/>
  <c r="J115" i="66"/>
  <c r="J39" i="67"/>
  <c r="J43" i="67"/>
  <c r="J49" i="67"/>
  <c r="J59" i="67"/>
  <c r="V58" i="69"/>
  <c r="J77" i="69"/>
  <c r="J93" i="69"/>
  <c r="J97" i="69"/>
  <c r="V109" i="69"/>
  <c r="J119" i="69"/>
  <c r="J125" i="69"/>
  <c r="V133" i="69"/>
  <c r="Z147" i="69"/>
  <c r="N54" i="70"/>
  <c r="Z60" i="70"/>
  <c r="F51" i="71"/>
  <c r="Z24" i="73"/>
  <c r="T70" i="74"/>
  <c r="Z19" i="74"/>
  <c r="J33" i="65"/>
  <c r="J37" i="65"/>
  <c r="J43" i="65"/>
  <c r="J53" i="65"/>
  <c r="J57" i="66"/>
  <c r="J71" i="66"/>
  <c r="J75" i="66"/>
  <c r="J81" i="66"/>
  <c r="J20" i="67"/>
  <c r="J48" i="67"/>
  <c r="J58" i="67"/>
  <c r="J150" i="69"/>
  <c r="J139" i="69"/>
  <c r="J129" i="69"/>
  <c r="J121" i="69"/>
  <c r="J113" i="69"/>
  <c r="J151" i="69"/>
  <c r="J140" i="69"/>
  <c r="J122" i="69"/>
  <c r="J104" i="69"/>
  <c r="J88" i="69"/>
  <c r="J84" i="69"/>
  <c r="J153" i="69"/>
  <c r="J141" i="69"/>
  <c r="J135" i="69"/>
  <c r="J123" i="69"/>
  <c r="J105" i="69"/>
  <c r="J142" i="69"/>
  <c r="J130" i="69"/>
  <c r="J124" i="69"/>
  <c r="J114" i="69"/>
  <c r="J106" i="69"/>
  <c r="J98" i="69"/>
  <c r="J94" i="69"/>
  <c r="J80" i="69"/>
  <c r="J144" i="69"/>
  <c r="J136" i="69"/>
  <c r="J132" i="69"/>
  <c r="J116" i="69"/>
  <c r="J117" i="69"/>
  <c r="J99" i="69"/>
  <c r="J95" i="69"/>
  <c r="J91" i="69"/>
  <c r="J145" i="69"/>
  <c r="J137" i="69"/>
  <c r="J133" i="69"/>
  <c r="J109" i="69"/>
  <c r="J73" i="69"/>
  <c r="J69" i="69"/>
  <c r="J65" i="69"/>
  <c r="J61" i="69"/>
  <c r="J110" i="69"/>
  <c r="J100" i="69"/>
  <c r="J96" i="69"/>
  <c r="J92" i="69"/>
  <c r="J149" i="69"/>
  <c r="J138" i="69"/>
  <c r="J134" i="69"/>
  <c r="J128" i="69"/>
  <c r="J120" i="69"/>
  <c r="J112" i="69"/>
  <c r="J102" i="69"/>
  <c r="X13" i="69"/>
  <c r="Z13" i="69" s="1"/>
  <c r="J52" i="69"/>
  <c r="V54" i="69"/>
  <c r="V61" i="69"/>
  <c r="Z79" i="69"/>
  <c r="J81" i="69"/>
  <c r="J115" i="69"/>
  <c r="N117" i="69"/>
  <c r="N131" i="69"/>
  <c r="V147" i="69"/>
  <c r="N78" i="71"/>
  <c r="J42" i="65"/>
  <c r="J44" i="66"/>
  <c r="J48" i="66"/>
  <c r="J52" i="66"/>
  <c r="J80" i="66"/>
  <c r="J104" i="66"/>
  <c r="J112" i="66"/>
  <c r="J19" i="67"/>
  <c r="J29" i="67"/>
  <c r="J33" i="67"/>
  <c r="J47" i="67"/>
  <c r="J57" i="67"/>
  <c r="J65" i="67"/>
  <c r="V67" i="69"/>
  <c r="V70" i="69"/>
  <c r="V73" i="69"/>
  <c r="J75" i="69"/>
  <c r="V79" i="69"/>
  <c r="J83" i="69"/>
  <c r="J101" i="69"/>
  <c r="Z107" i="69"/>
  <c r="J131" i="69"/>
  <c r="J111" i="66"/>
  <c r="J64" i="67"/>
  <c r="J76" i="67"/>
  <c r="V64" i="69"/>
  <c r="X101" i="69"/>
  <c r="J103" i="69"/>
  <c r="V107" i="69"/>
  <c r="V123" i="69"/>
  <c r="P12" i="70"/>
  <c r="X13" i="70"/>
  <c r="Z13" i="70" s="1"/>
  <c r="Z54" i="70"/>
  <c r="X63" i="70"/>
  <c r="Z63" i="70" s="1"/>
  <c r="F87" i="71"/>
  <c r="N104" i="71"/>
  <c r="R69" i="73"/>
  <c r="R68" i="73"/>
  <c r="R44" i="73"/>
  <c r="R40" i="73"/>
  <c r="R81" i="73"/>
  <c r="R63" i="73"/>
  <c r="R74" i="73"/>
  <c r="R73" i="73"/>
  <c r="R50" i="73"/>
  <c r="R49" i="73"/>
  <c r="R72" i="73"/>
  <c r="R67" i="73"/>
  <c r="R64" i="73"/>
  <c r="R51" i="73"/>
  <c r="R45" i="73"/>
  <c r="R42" i="73"/>
  <c r="R35" i="73"/>
  <c r="R34" i="73"/>
  <c r="R30" i="73"/>
  <c r="R26" i="73"/>
  <c r="P22" i="73"/>
  <c r="R77" i="73"/>
  <c r="R57" i="73"/>
  <c r="R52" i="73"/>
  <c r="R46" i="73"/>
  <c r="R39" i="73"/>
  <c r="R65" i="73"/>
  <c r="R61" i="73"/>
  <c r="R36" i="73"/>
  <c r="R17" i="73"/>
  <c r="R62" i="73"/>
  <c r="R31" i="73"/>
  <c r="R27" i="73"/>
  <c r="R47" i="73"/>
  <c r="R43" i="73"/>
  <c r="R18" i="73"/>
  <c r="R58" i="73"/>
  <c r="R54" i="73"/>
  <c r="R53" i="73"/>
  <c r="R48" i="73"/>
  <c r="R59" i="73"/>
  <c r="R37" i="73"/>
  <c r="R32" i="73"/>
  <c r="R28" i="73"/>
  <c r="R70" i="73"/>
  <c r="R66" i="73"/>
  <c r="R19" i="73"/>
  <c r="R55" i="73"/>
  <c r="X12" i="73"/>
  <c r="Z12" i="73" s="1"/>
  <c r="R60" i="73"/>
  <c r="R41" i="73"/>
  <c r="R38" i="73"/>
  <c r="R33" i="73"/>
  <c r="R29" i="73"/>
  <c r="R71" i="73"/>
  <c r="R24" i="73"/>
  <c r="R22" i="73"/>
  <c r="J32" i="65"/>
  <c r="J36" i="65"/>
  <c r="J40" i="65"/>
  <c r="J52" i="65"/>
  <c r="J70" i="65"/>
  <c r="J73" i="65"/>
  <c r="J70" i="66"/>
  <c r="J74" i="66"/>
  <c r="J78" i="66"/>
  <c r="J88" i="66"/>
  <c r="J96" i="66"/>
  <c r="J110" i="66"/>
  <c r="J63" i="67"/>
  <c r="V53" i="69"/>
  <c r="V57" i="69"/>
  <c r="T77" i="69"/>
  <c r="V81" i="69"/>
  <c r="J85" i="69"/>
  <c r="Z101" i="69"/>
  <c r="J148" i="69"/>
  <c r="J87" i="66"/>
  <c r="L88" i="66"/>
  <c r="J95" i="66"/>
  <c r="L96" i="66"/>
  <c r="N96" i="66" s="1"/>
  <c r="J103" i="66"/>
  <c r="X106" i="66"/>
  <c r="J109" i="66"/>
  <c r="J28" i="67"/>
  <c r="J32" i="67"/>
  <c r="X51" i="67"/>
  <c r="J56" i="67"/>
  <c r="X67" i="67"/>
  <c r="Z67" i="67" s="1"/>
  <c r="J72" i="67"/>
  <c r="V155" i="69"/>
  <c r="V125" i="69"/>
  <c r="V117" i="69"/>
  <c r="V144" i="69"/>
  <c r="V136" i="69"/>
  <c r="V132" i="69"/>
  <c r="V116" i="69"/>
  <c r="V108" i="69"/>
  <c r="V99" i="69"/>
  <c r="V95" i="69"/>
  <c r="V91" i="69"/>
  <c r="V126" i="69"/>
  <c r="V118" i="69"/>
  <c r="V110" i="69"/>
  <c r="V86" i="69"/>
  <c r="V82" i="69"/>
  <c r="V148" i="69"/>
  <c r="V128" i="69"/>
  <c r="V120" i="69"/>
  <c r="V149" i="69"/>
  <c r="V139" i="69"/>
  <c r="V127" i="69"/>
  <c r="V119" i="69"/>
  <c r="V111" i="69"/>
  <c r="V103" i="69"/>
  <c r="V87" i="69"/>
  <c r="V83" i="69"/>
  <c r="V151" i="69"/>
  <c r="V141" i="69"/>
  <c r="V129" i="69"/>
  <c r="V121" i="69"/>
  <c r="V113" i="69"/>
  <c r="V105" i="69"/>
  <c r="V97" i="69"/>
  <c r="V93" i="69"/>
  <c r="V140" i="69"/>
  <c r="V124" i="69"/>
  <c r="V104" i="69"/>
  <c r="V88" i="69"/>
  <c r="V84" i="69"/>
  <c r="V80" i="69"/>
  <c r="V142" i="69"/>
  <c r="V130" i="69"/>
  <c r="V114" i="69"/>
  <c r="V106" i="69"/>
  <c r="V98" i="69"/>
  <c r="V94" i="69"/>
  <c r="V90" i="69"/>
  <c r="J59" i="69"/>
  <c r="V101" i="69"/>
  <c r="J108" i="69"/>
  <c r="V131" i="69"/>
  <c r="V134" i="69"/>
  <c r="Z76" i="71"/>
  <c r="N46" i="73"/>
  <c r="Z74" i="73"/>
  <c r="N12" i="65"/>
  <c r="J18" i="65"/>
  <c r="J20" i="65"/>
  <c r="J22" i="65"/>
  <c r="J26" i="65"/>
  <c r="J50" i="65"/>
  <c r="J58" i="65"/>
  <c r="N12" i="66"/>
  <c r="J60" i="66"/>
  <c r="J64" i="66"/>
  <c r="J86" i="66"/>
  <c r="J94" i="66"/>
  <c r="J102" i="66"/>
  <c r="J37" i="67"/>
  <c r="J41" i="67"/>
  <c r="J45" i="67"/>
  <c r="V60" i="69"/>
  <c r="V63" i="69"/>
  <c r="V66" i="69"/>
  <c r="V69" i="69"/>
  <c r="J71" i="69"/>
  <c r="V75" i="69"/>
  <c r="L79" i="69"/>
  <c r="N80" i="69"/>
  <c r="J87" i="69"/>
  <c r="J90" i="69"/>
  <c r="N112" i="69"/>
  <c r="J118" i="69"/>
  <c r="J126" i="69"/>
  <c r="V137" i="69"/>
  <c r="N143" i="69"/>
  <c r="V145" i="69"/>
  <c r="Z31" i="70"/>
  <c r="Z89" i="71"/>
  <c r="D12" i="73"/>
  <c r="R25" i="73"/>
  <c r="L54" i="73"/>
  <c r="R56" i="73"/>
  <c r="J33" i="70"/>
  <c r="J37" i="70"/>
  <c r="V53" i="70"/>
  <c r="J61" i="70"/>
  <c r="J67" i="70"/>
  <c r="J73" i="70"/>
  <c r="V77" i="70"/>
  <c r="J85" i="70"/>
  <c r="N12" i="71"/>
  <c r="V34" i="71"/>
  <c r="V38" i="71"/>
  <c r="V42" i="71"/>
  <c r="V46" i="71"/>
  <c r="J54" i="71"/>
  <c r="J58" i="71"/>
  <c r="J62" i="71"/>
  <c r="V74" i="71"/>
  <c r="J80" i="71"/>
  <c r="J90" i="71"/>
  <c r="V94" i="71"/>
  <c r="V98" i="71"/>
  <c r="V26" i="73"/>
  <c r="V30" i="73"/>
  <c r="V34" i="73"/>
  <c r="V42" i="73"/>
  <c r="V45" i="73"/>
  <c r="V46" i="73"/>
  <c r="V51" i="73"/>
  <c r="J55" i="73"/>
  <c r="V64" i="73"/>
  <c r="V67" i="73"/>
  <c r="Z72" i="73"/>
  <c r="J81" i="73"/>
  <c r="N12" i="74"/>
  <c r="J66" i="74"/>
  <c r="R92" i="76"/>
  <c r="R63" i="76"/>
  <c r="R62" i="76"/>
  <c r="R42" i="76"/>
  <c r="R38" i="76"/>
  <c r="R34" i="76"/>
  <c r="R97" i="76"/>
  <c r="R94" i="76"/>
  <c r="R81" i="76"/>
  <c r="R69" i="76"/>
  <c r="R29" i="76"/>
  <c r="R76" i="76"/>
  <c r="R64" i="76"/>
  <c r="R53" i="76"/>
  <c r="R52" i="76"/>
  <c r="R44" i="76"/>
  <c r="R43" i="76"/>
  <c r="R39" i="76"/>
  <c r="R35" i="76"/>
  <c r="R83" i="76"/>
  <c r="R82" i="76"/>
  <c r="R77" i="76"/>
  <c r="R65" i="76"/>
  <c r="R46" i="76"/>
  <c r="R45" i="76"/>
  <c r="R85" i="76"/>
  <c r="R72" i="76"/>
  <c r="R71" i="76"/>
  <c r="R48" i="76"/>
  <c r="R47" i="76"/>
  <c r="R31" i="76"/>
  <c r="R27" i="76"/>
  <c r="R86" i="76"/>
  <c r="R78" i="76"/>
  <c r="R66" i="76"/>
  <c r="R59" i="76"/>
  <c r="R58" i="76"/>
  <c r="R90" i="76"/>
  <c r="R88" i="76"/>
  <c r="R74" i="76"/>
  <c r="R73" i="76"/>
  <c r="R50" i="76"/>
  <c r="R49" i="76"/>
  <c r="R41" i="76"/>
  <c r="R37" i="76"/>
  <c r="R80" i="76"/>
  <c r="R79" i="76"/>
  <c r="R75" i="76"/>
  <c r="R68" i="76"/>
  <c r="R67" i="76"/>
  <c r="R51" i="76"/>
  <c r="R24" i="76"/>
  <c r="R84" i="76"/>
  <c r="R23" i="76"/>
  <c r="R21" i="76"/>
  <c r="P21" i="76"/>
  <c r="R60" i="76"/>
  <c r="X12" i="76"/>
  <c r="Z12" i="76" s="1"/>
  <c r="R70" i="76"/>
  <c r="R32" i="76"/>
  <c r="R25" i="76"/>
  <c r="R16" i="76"/>
  <c r="R56" i="76"/>
  <c r="R30" i="76"/>
  <c r="R33" i="76"/>
  <c r="R17" i="76"/>
  <c r="R61" i="76"/>
  <c r="R57" i="76"/>
  <c r="R54" i="76"/>
  <c r="R28" i="76"/>
  <c r="R26" i="76"/>
  <c r="R36" i="76"/>
  <c r="R18" i="76"/>
  <c r="R40" i="76"/>
  <c r="R55" i="76"/>
  <c r="R19" i="76"/>
  <c r="L148" i="69"/>
  <c r="H28" i="70"/>
  <c r="J41" i="70"/>
  <c r="V43" i="70"/>
  <c r="V47" i="70"/>
  <c r="V51" i="70"/>
  <c r="J59" i="70"/>
  <c r="V63" i="70"/>
  <c r="V75" i="70"/>
  <c r="J36" i="71"/>
  <c r="J40" i="71"/>
  <c r="J44" i="71"/>
  <c r="H49" i="71"/>
  <c r="V64" i="71"/>
  <c r="V68" i="71"/>
  <c r="V72" i="71"/>
  <c r="J78" i="71"/>
  <c r="J88" i="71"/>
  <c r="V92" i="71"/>
  <c r="J96" i="71"/>
  <c r="J104" i="71"/>
  <c r="J105" i="71"/>
  <c r="V110" i="71"/>
  <c r="V81" i="73"/>
  <c r="V63" i="73"/>
  <c r="V55" i="73"/>
  <c r="V70" i="73"/>
  <c r="V60" i="73"/>
  <c r="V52" i="73"/>
  <c r="V20" i="73"/>
  <c r="V22" i="73"/>
  <c r="V24" i="73"/>
  <c r="J28" i="73"/>
  <c r="J32" i="73"/>
  <c r="J37" i="73"/>
  <c r="J54" i="73"/>
  <c r="J63" i="73"/>
  <c r="J66" i="73"/>
  <c r="J74" i="73"/>
  <c r="V75" i="73"/>
  <c r="V56" i="74"/>
  <c r="V48" i="74"/>
  <c r="V63" i="74"/>
  <c r="V47" i="74"/>
  <c r="V62" i="74"/>
  <c r="V58" i="74"/>
  <c r="V50" i="74"/>
  <c r="V30" i="74"/>
  <c r="V26" i="74"/>
  <c r="V22" i="74"/>
  <c r="Z12" i="74"/>
  <c r="V65" i="74"/>
  <c r="V57" i="74"/>
  <c r="V49" i="74"/>
  <c r="V21" i="74"/>
  <c r="V19" i="74"/>
  <c r="V17" i="74"/>
  <c r="V64" i="74"/>
  <c r="V52" i="74"/>
  <c r="V40" i="74"/>
  <c r="V36" i="74"/>
  <c r="V59" i="74"/>
  <c r="V51" i="74"/>
  <c r="V70" i="74"/>
  <c r="V68" i="74"/>
  <c r="V66" i="74"/>
  <c r="V53" i="74"/>
  <c r="V41" i="74"/>
  <c r="V37" i="74"/>
  <c r="V33" i="74"/>
  <c r="V55" i="74"/>
  <c r="V43" i="74"/>
  <c r="V15" i="74"/>
  <c r="V61" i="74"/>
  <c r="V45" i="74"/>
  <c r="V29" i="74"/>
  <c r="V25" i="74"/>
  <c r="J22" i="74"/>
  <c r="J43" i="74"/>
  <c r="N46" i="74"/>
  <c r="H49" i="75"/>
  <c r="J26" i="70"/>
  <c r="J28" i="70"/>
  <c r="J30" i="70"/>
  <c r="J32" i="70"/>
  <c r="J36" i="70"/>
  <c r="J40" i="70"/>
  <c r="V52" i="70"/>
  <c r="J58" i="70"/>
  <c r="V68" i="70"/>
  <c r="J72" i="70"/>
  <c r="J80" i="70"/>
  <c r="J81" i="70"/>
  <c r="V33" i="71"/>
  <c r="V37" i="71"/>
  <c r="V41" i="71"/>
  <c r="V45" i="71"/>
  <c r="J49" i="71"/>
  <c r="J51" i="71"/>
  <c r="J53" i="71"/>
  <c r="J57" i="71"/>
  <c r="J61" i="71"/>
  <c r="J77" i="71"/>
  <c r="V81" i="71"/>
  <c r="J87" i="71"/>
  <c r="V97" i="71"/>
  <c r="V25" i="73"/>
  <c r="V29" i="73"/>
  <c r="V33" i="73"/>
  <c r="V38" i="73"/>
  <c r="V41" i="73"/>
  <c r="J48" i="73"/>
  <c r="V56" i="73"/>
  <c r="L65" i="73"/>
  <c r="N65" i="73" s="1"/>
  <c r="J69" i="73"/>
  <c r="V23" i="74"/>
  <c r="J36" i="74"/>
  <c r="V60" i="74"/>
  <c r="L46" i="76"/>
  <c r="N46" i="76" s="1"/>
  <c r="J102" i="71"/>
  <c r="N62" i="73"/>
  <c r="D12" i="74"/>
  <c r="L13" i="74"/>
  <c r="J40" i="74"/>
  <c r="V42" i="70"/>
  <c r="V46" i="70"/>
  <c r="V50" i="70"/>
  <c r="J56" i="70"/>
  <c r="V66" i="70"/>
  <c r="J78" i="70"/>
  <c r="V63" i="71"/>
  <c r="V67" i="71"/>
  <c r="V71" i="71"/>
  <c r="J75" i="71"/>
  <c r="V79" i="71"/>
  <c r="J85" i="71"/>
  <c r="J95" i="71"/>
  <c r="J101" i="71"/>
  <c r="P104" i="71"/>
  <c r="X104" i="71" s="1"/>
  <c r="Z104" i="71" s="1"/>
  <c r="J17" i="73"/>
  <c r="J27" i="73"/>
  <c r="J31" i="73"/>
  <c r="J62" i="73"/>
  <c r="V66" i="73"/>
  <c r="J68" i="73"/>
  <c r="J73" i="73"/>
  <c r="L77" i="73"/>
  <c r="J79" i="73"/>
  <c r="L21" i="74"/>
  <c r="N21" i="74" s="1"/>
  <c r="J50" i="74"/>
  <c r="L63" i="74"/>
  <c r="N35" i="75"/>
  <c r="L35" i="75"/>
  <c r="H90" i="76"/>
  <c r="J21" i="76"/>
  <c r="N23" i="76"/>
  <c r="J55" i="70"/>
  <c r="L56" i="70"/>
  <c r="V59" i="70"/>
  <c r="V67" i="70"/>
  <c r="J71" i="70"/>
  <c r="J77" i="70"/>
  <c r="X63" i="71"/>
  <c r="Z63" i="71" s="1"/>
  <c r="J74" i="71"/>
  <c r="V80" i="71"/>
  <c r="J84" i="71"/>
  <c r="L85" i="71"/>
  <c r="N85" i="71" s="1"/>
  <c r="V88" i="71"/>
  <c r="J94" i="71"/>
  <c r="V96" i="71"/>
  <c r="J100" i="71"/>
  <c r="L101" i="71"/>
  <c r="V106" i="71"/>
  <c r="L17" i="73"/>
  <c r="N17" i="73" s="1"/>
  <c r="L62" i="73"/>
  <c r="J65" i="73"/>
  <c r="D12" i="75"/>
  <c r="L13" i="75"/>
  <c r="N13" i="75" s="1"/>
  <c r="J76" i="70"/>
  <c r="J93" i="71"/>
  <c r="J99" i="71"/>
  <c r="V105" i="71"/>
  <c r="J35" i="73"/>
  <c r="J52" i="73"/>
  <c r="Z54" i="73"/>
  <c r="J57" i="73"/>
  <c r="V59" i="73"/>
  <c r="J61" i="73"/>
  <c r="V74" i="73"/>
  <c r="T28" i="70"/>
  <c r="V41" i="70"/>
  <c r="V45" i="70"/>
  <c r="V49" i="70"/>
  <c r="J53" i="70"/>
  <c r="V57" i="70"/>
  <c r="J63" i="70"/>
  <c r="V65" i="70"/>
  <c r="J75" i="70"/>
  <c r="V81" i="70"/>
  <c r="J34" i="71"/>
  <c r="J38" i="71"/>
  <c r="J42" i="71"/>
  <c r="J46" i="71"/>
  <c r="T49" i="71"/>
  <c r="V66" i="71"/>
  <c r="V70" i="71"/>
  <c r="V78" i="71"/>
  <c r="V86" i="71"/>
  <c r="J92" i="71"/>
  <c r="J98" i="71"/>
  <c r="V102" i="71"/>
  <c r="V104" i="71"/>
  <c r="V18" i="73"/>
  <c r="J22" i="73"/>
  <c r="J24" i="73"/>
  <c r="J26" i="73"/>
  <c r="J30" i="73"/>
  <c r="J34" i="73"/>
  <c r="J42" i="73"/>
  <c r="V43" i="73"/>
  <c r="J45" i="73"/>
  <c r="V47" i="73"/>
  <c r="V48" i="73"/>
  <c r="V54" i="73"/>
  <c r="X59" i="73"/>
  <c r="Z59" i="73" s="1"/>
  <c r="X65" i="73"/>
  <c r="Z65" i="73" s="1"/>
  <c r="V68" i="73"/>
  <c r="V69" i="73"/>
  <c r="J72" i="73"/>
  <c r="V73" i="73"/>
  <c r="J77" i="73"/>
  <c r="J26" i="74"/>
  <c r="V74" i="74"/>
  <c r="V26" i="70"/>
  <c r="V28" i="70"/>
  <c r="V30" i="70"/>
  <c r="J34" i="70"/>
  <c r="J38" i="70"/>
  <c r="X41" i="70"/>
  <c r="Z41" i="70" s="1"/>
  <c r="J52" i="70"/>
  <c r="V58" i="70"/>
  <c r="J62" i="70"/>
  <c r="L63" i="70"/>
  <c r="N63" i="70" s="1"/>
  <c r="J70" i="70"/>
  <c r="J74" i="70"/>
  <c r="L75" i="70"/>
  <c r="N75" i="70" s="1"/>
  <c r="V78" i="70"/>
  <c r="V80" i="70"/>
  <c r="J55" i="71"/>
  <c r="J59" i="71"/>
  <c r="V75" i="71"/>
  <c r="X78" i="71"/>
  <c r="Z78" i="71" s="1"/>
  <c r="J83" i="71"/>
  <c r="V87" i="71"/>
  <c r="J91" i="71"/>
  <c r="L92" i="71"/>
  <c r="V95" i="71"/>
  <c r="L24" i="73"/>
  <c r="N24" i="73" s="1"/>
  <c r="X46" i="73"/>
  <c r="Z46" i="73" s="1"/>
  <c r="X48" i="73"/>
  <c r="X54" i="73"/>
  <c r="J56" i="73"/>
  <c r="X69" i="73"/>
  <c r="Z69" i="73" s="1"/>
  <c r="L72" i="73"/>
  <c r="V79" i="73"/>
  <c r="H70" i="74"/>
  <c r="N19" i="74"/>
  <c r="V31" i="70"/>
  <c r="V35" i="70"/>
  <c r="V39" i="70"/>
  <c r="J43" i="70"/>
  <c r="J47" i="70"/>
  <c r="J51" i="70"/>
  <c r="V55" i="70"/>
  <c r="J69" i="70"/>
  <c r="V71" i="70"/>
  <c r="V52" i="71"/>
  <c r="V56" i="71"/>
  <c r="V60" i="71"/>
  <c r="J64" i="71"/>
  <c r="J68" i="71"/>
  <c r="J72" i="71"/>
  <c r="V76" i="71"/>
  <c r="J82" i="71"/>
  <c r="V84" i="71"/>
  <c r="V100" i="71"/>
  <c r="J110" i="71"/>
  <c r="J75" i="73"/>
  <c r="J67" i="73"/>
  <c r="J51" i="73"/>
  <c r="J43" i="73"/>
  <c r="J39" i="73"/>
  <c r="J64" i="73"/>
  <c r="J46" i="73"/>
  <c r="J20" i="73"/>
  <c r="V61" i="73"/>
  <c r="V62" i="73"/>
  <c r="Z47" i="75"/>
  <c r="X47" i="75"/>
  <c r="V48" i="70"/>
  <c r="V56" i="70"/>
  <c r="V64" i="70"/>
  <c r="J81" i="71"/>
  <c r="V85" i="71"/>
  <c r="V93" i="71"/>
  <c r="J50" i="73"/>
  <c r="J60" i="73"/>
  <c r="X62" i="73"/>
  <c r="Z62" i="73" s="1"/>
  <c r="V65" i="73"/>
  <c r="J70" i="74"/>
  <c r="J68" i="74"/>
  <c r="J60" i="74"/>
  <c r="J42" i="74"/>
  <c r="J28" i="74"/>
  <c r="J24" i="74"/>
  <c r="J72" i="74"/>
  <c r="J54" i="74"/>
  <c r="J44" i="74"/>
  <c r="J38" i="74"/>
  <c r="J34" i="74"/>
  <c r="J61" i="74"/>
  <c r="J55" i="74"/>
  <c r="J45" i="74"/>
  <c r="J29" i="74"/>
  <c r="J25" i="74"/>
  <c r="J15" i="74"/>
  <c r="J77" i="74"/>
  <c r="J74" i="74"/>
  <c r="J56" i="74"/>
  <c r="J46" i="74"/>
  <c r="J47" i="74"/>
  <c r="J39" i="74"/>
  <c r="J35" i="74"/>
  <c r="J62" i="74"/>
  <c r="J48" i="74"/>
  <c r="J63" i="74"/>
  <c r="J57" i="74"/>
  <c r="J49" i="74"/>
  <c r="J31" i="74"/>
  <c r="J17" i="74"/>
  <c r="J65" i="74"/>
  <c r="J59" i="74"/>
  <c r="J51" i="74"/>
  <c r="J27" i="74"/>
  <c r="J23" i="74"/>
  <c r="J21" i="74"/>
  <c r="J19" i="74"/>
  <c r="J53" i="74"/>
  <c r="J41" i="74"/>
  <c r="J37" i="74"/>
  <c r="J33" i="74"/>
  <c r="J30" i="74"/>
  <c r="J58" i="74"/>
  <c r="J64" i="74"/>
  <c r="P12" i="75"/>
  <c r="X14" i="75"/>
  <c r="T53" i="75"/>
  <c r="V19" i="75"/>
  <c r="J23" i="75"/>
  <c r="J25" i="75"/>
  <c r="J27" i="75"/>
  <c r="J31" i="75"/>
  <c r="J18" i="76"/>
  <c r="T21" i="76"/>
  <c r="Z24" i="76"/>
  <c r="V29" i="76"/>
  <c r="F36" i="76"/>
  <c r="N44" i="76"/>
  <c r="J21" i="75"/>
  <c r="J35" i="75"/>
  <c r="V37" i="75"/>
  <c r="V41" i="75"/>
  <c r="V45" i="75"/>
  <c r="V47" i="75"/>
  <c r="V49" i="75"/>
  <c r="F16" i="76"/>
  <c r="F17" i="76"/>
  <c r="F28" i="76"/>
  <c r="V31" i="76"/>
  <c r="F52" i="76"/>
  <c r="V71" i="76"/>
  <c r="V75" i="76"/>
  <c r="L70" i="77"/>
  <c r="N54" i="79"/>
  <c r="L54" i="79"/>
  <c r="F86" i="76"/>
  <c r="F85" i="76"/>
  <c r="F78" i="76"/>
  <c r="F66" i="76"/>
  <c r="F58" i="76"/>
  <c r="F57" i="76"/>
  <c r="F73" i="76"/>
  <c r="F72" i="76"/>
  <c r="F49" i="76"/>
  <c r="F48" i="76"/>
  <c r="F41" i="76"/>
  <c r="F37" i="76"/>
  <c r="F60" i="76"/>
  <c r="F59" i="76"/>
  <c r="F90" i="76"/>
  <c r="F88" i="76"/>
  <c r="F79" i="76"/>
  <c r="F75" i="76"/>
  <c r="F74" i="76"/>
  <c r="F67" i="76"/>
  <c r="F51" i="76"/>
  <c r="F50" i="76"/>
  <c r="F92" i="76"/>
  <c r="F81" i="76"/>
  <c r="F80" i="76"/>
  <c r="F69" i="76"/>
  <c r="F68" i="76"/>
  <c r="F97" i="76"/>
  <c r="F94" i="76"/>
  <c r="F43" i="76"/>
  <c r="F39" i="76"/>
  <c r="F35" i="76"/>
  <c r="F82" i="76"/>
  <c r="F70" i="76"/>
  <c r="F54" i="76"/>
  <c r="F77" i="76"/>
  <c r="F65" i="76"/>
  <c r="F45" i="76"/>
  <c r="F44" i="76"/>
  <c r="F71" i="76"/>
  <c r="F47" i="76"/>
  <c r="F46" i="76"/>
  <c r="F31" i="76"/>
  <c r="F27" i="76"/>
  <c r="Z80" i="76"/>
  <c r="X80" i="76"/>
  <c r="N70" i="77"/>
  <c r="Z117" i="77"/>
  <c r="V27" i="75"/>
  <c r="V31" i="75"/>
  <c r="J39" i="75"/>
  <c r="J43" i="75"/>
  <c r="J73" i="76"/>
  <c r="J59" i="76"/>
  <c r="J49" i="76"/>
  <c r="J41" i="76"/>
  <c r="J37" i="76"/>
  <c r="J90" i="76"/>
  <c r="J88" i="76"/>
  <c r="J74" i="76"/>
  <c r="J60" i="76"/>
  <c r="J50" i="76"/>
  <c r="J32" i="76"/>
  <c r="J28" i="76"/>
  <c r="J79" i="76"/>
  <c r="J75" i="76"/>
  <c r="J67" i="76"/>
  <c r="J61" i="76"/>
  <c r="J51" i="76"/>
  <c r="J92" i="76"/>
  <c r="J80" i="76"/>
  <c r="J68" i="76"/>
  <c r="J62" i="76"/>
  <c r="J42" i="76"/>
  <c r="J38" i="76"/>
  <c r="J34" i="76"/>
  <c r="J81" i="76"/>
  <c r="J76" i="76"/>
  <c r="J64" i="76"/>
  <c r="J52" i="76"/>
  <c r="J82" i="76"/>
  <c r="J70" i="76"/>
  <c r="J54" i="76"/>
  <c r="J44" i="76"/>
  <c r="J30" i="76"/>
  <c r="J26" i="76"/>
  <c r="J83" i="76"/>
  <c r="J77" i="76"/>
  <c r="J65" i="76"/>
  <c r="J55" i="76"/>
  <c r="J84" i="76"/>
  <c r="J56" i="76"/>
  <c r="J46" i="76"/>
  <c r="J40" i="76"/>
  <c r="J36" i="76"/>
  <c r="J86" i="76"/>
  <c r="J78" i="76"/>
  <c r="J72" i="76"/>
  <c r="J66" i="76"/>
  <c r="J58" i="76"/>
  <c r="J48" i="76"/>
  <c r="X13" i="76"/>
  <c r="Z13" i="76" s="1"/>
  <c r="J16" i="76"/>
  <c r="D21" i="76"/>
  <c r="F25" i="76"/>
  <c r="F30" i="76"/>
  <c r="Z46" i="76"/>
  <c r="V67" i="76"/>
  <c r="J85" i="76"/>
  <c r="P12" i="77"/>
  <c r="N46" i="77"/>
  <c r="V40" i="75"/>
  <c r="V44" i="75"/>
  <c r="L12" i="76"/>
  <c r="N12" i="76" s="1"/>
  <c r="F21" i="76"/>
  <c r="F23" i="76"/>
  <c r="J43" i="76"/>
  <c r="J45" i="76"/>
  <c r="Z48" i="76"/>
  <c r="Z50" i="76"/>
  <c r="F56" i="76"/>
  <c r="V23" i="75"/>
  <c r="V25" i="75"/>
  <c r="J29" i="75"/>
  <c r="J33" i="75"/>
  <c r="J51" i="75"/>
  <c r="N16" i="76"/>
  <c r="F24" i="76"/>
  <c r="F32" i="76"/>
  <c r="J47" i="76"/>
  <c r="V57" i="76"/>
  <c r="V65" i="76"/>
  <c r="F76" i="76"/>
  <c r="D12" i="77"/>
  <c r="L18" i="77"/>
  <c r="N35" i="77"/>
  <c r="Z46" i="77"/>
  <c r="V26" i="75"/>
  <c r="V30" i="75"/>
  <c r="V34" i="75"/>
  <c r="J38" i="75"/>
  <c r="J42" i="75"/>
  <c r="J23" i="76"/>
  <c r="J27" i="76"/>
  <c r="F53" i="76"/>
  <c r="J19" i="75"/>
  <c r="V35" i="75"/>
  <c r="V39" i="75"/>
  <c r="V43" i="75"/>
  <c r="J47" i="75"/>
  <c r="J49" i="75"/>
  <c r="V81" i="76"/>
  <c r="V69" i="76"/>
  <c r="V53" i="76"/>
  <c r="V76" i="76"/>
  <c r="V64" i="76"/>
  <c r="V52" i="76"/>
  <c r="V44" i="76"/>
  <c r="V83" i="76"/>
  <c r="V55" i="76"/>
  <c r="V43" i="76"/>
  <c r="V39" i="76"/>
  <c r="V82" i="76"/>
  <c r="V70" i="76"/>
  <c r="V54" i="76"/>
  <c r="V46" i="76"/>
  <c r="V30" i="76"/>
  <c r="V26" i="76"/>
  <c r="V85" i="76"/>
  <c r="V77" i="76"/>
  <c r="V84" i="76"/>
  <c r="V72" i="76"/>
  <c r="V56" i="76"/>
  <c r="V48" i="76"/>
  <c r="V40" i="76"/>
  <c r="V36" i="76"/>
  <c r="V88" i="76"/>
  <c r="V86" i="76"/>
  <c r="V78" i="76"/>
  <c r="V74" i="76"/>
  <c r="V66" i="76"/>
  <c r="V58" i="76"/>
  <c r="V50" i="76"/>
  <c r="V73" i="76"/>
  <c r="V61" i="76"/>
  <c r="V80" i="76"/>
  <c r="V68" i="76"/>
  <c r="V60" i="76"/>
  <c r="V92" i="76"/>
  <c r="V62" i="76"/>
  <c r="V42" i="76"/>
  <c r="V38" i="76"/>
  <c r="V34" i="76"/>
  <c r="F19" i="76"/>
  <c r="L23" i="76"/>
  <c r="J24" i="76"/>
  <c r="F29" i="76"/>
  <c r="V33" i="76"/>
  <c r="V35" i="76"/>
  <c r="V45" i="76"/>
  <c r="F55" i="76"/>
  <c r="F62" i="76"/>
  <c r="V79" i="76"/>
  <c r="F84" i="76"/>
  <c r="Z25" i="78"/>
  <c r="X25" i="78"/>
  <c r="J18" i="75"/>
  <c r="V20" i="75"/>
  <c r="J28" i="75"/>
  <c r="J32" i="75"/>
  <c r="J19" i="76"/>
  <c r="V25" i="76"/>
  <c r="J29" i="76"/>
  <c r="V32" i="76"/>
  <c r="V37" i="76"/>
  <c r="V47" i="76"/>
  <c r="J53" i="76"/>
  <c r="N68" i="76"/>
  <c r="Z74" i="76"/>
  <c r="T30" i="78"/>
  <c r="J37" i="75"/>
  <c r="J41" i="75"/>
  <c r="J45" i="75"/>
  <c r="V51" i="75"/>
  <c r="V53" i="75"/>
  <c r="V49" i="76"/>
  <c r="V51" i="76"/>
  <c r="N95" i="77"/>
  <c r="L27" i="80"/>
  <c r="N27" i="80"/>
  <c r="V38" i="75"/>
  <c r="F18" i="76"/>
  <c r="J31" i="76"/>
  <c r="F34" i="76"/>
  <c r="F40" i="76"/>
  <c r="F42" i="76"/>
  <c r="F64" i="76"/>
  <c r="Z68" i="76"/>
  <c r="X68" i="76"/>
  <c r="J71" i="76"/>
  <c r="X72" i="76"/>
  <c r="Z72" i="76" s="1"/>
  <c r="J38" i="77"/>
  <c r="J42" i="77"/>
  <c r="V58" i="77"/>
  <c r="V62" i="77"/>
  <c r="V66" i="77"/>
  <c r="J72" i="77"/>
  <c r="V78" i="77"/>
  <c r="J82" i="77"/>
  <c r="V86" i="77"/>
  <c r="V94" i="77"/>
  <c r="V95" i="77"/>
  <c r="J97" i="77"/>
  <c r="V98" i="77"/>
  <c r="N102" i="77"/>
  <c r="V106" i="77"/>
  <c r="Z114" i="77"/>
  <c r="X117" i="77"/>
  <c r="J18" i="78"/>
  <c r="J26" i="78"/>
  <c r="J28" i="78"/>
  <c r="N12" i="78"/>
  <c r="F24" i="78"/>
  <c r="F28" i="78"/>
  <c r="J32" i="78"/>
  <c r="D12" i="79"/>
  <c r="R30" i="79"/>
  <c r="N52" i="79"/>
  <c r="X68" i="79"/>
  <c r="V48" i="77"/>
  <c r="V52" i="77"/>
  <c r="V56" i="77"/>
  <c r="J60" i="77"/>
  <c r="J64" i="77"/>
  <c r="J70" i="77"/>
  <c r="V76" i="77"/>
  <c r="V84" i="77"/>
  <c r="J92" i="77"/>
  <c r="J101" i="77"/>
  <c r="V109" i="77"/>
  <c r="V28" i="78"/>
  <c r="V26" i="78"/>
  <c r="V32" i="78"/>
  <c r="V17" i="78"/>
  <c r="Z16" i="78"/>
  <c r="V20" i="78"/>
  <c r="V25" i="78"/>
  <c r="J16" i="79"/>
  <c r="P20" i="79"/>
  <c r="J29" i="79"/>
  <c r="J37" i="77"/>
  <c r="J41" i="77"/>
  <c r="V57" i="77"/>
  <c r="V61" i="77"/>
  <c r="V65" i="77"/>
  <c r="J69" i="77"/>
  <c r="V73" i="77"/>
  <c r="J81" i="77"/>
  <c r="V85" i="77"/>
  <c r="J91" i="77"/>
  <c r="V93" i="77"/>
  <c r="V108" i="77"/>
  <c r="V117" i="77"/>
  <c r="J120" i="77"/>
  <c r="V16" i="78"/>
  <c r="L23" i="78"/>
  <c r="N23" i="78" s="1"/>
  <c r="V24" i="78"/>
  <c r="R76" i="79"/>
  <c r="J80" i="79"/>
  <c r="N21" i="80"/>
  <c r="T87" i="81"/>
  <c r="Z16" i="81"/>
  <c r="V38" i="77"/>
  <c r="V42" i="77"/>
  <c r="V44" i="77"/>
  <c r="V46" i="77"/>
  <c r="J50" i="77"/>
  <c r="J54" i="77"/>
  <c r="J68" i="77"/>
  <c r="V74" i="77"/>
  <c r="J80" i="77"/>
  <c r="V82" i="77"/>
  <c r="J90" i="77"/>
  <c r="L95" i="77"/>
  <c r="J96" i="77"/>
  <c r="V97" i="77"/>
  <c r="V105" i="77"/>
  <c r="J107" i="77"/>
  <c r="V116" i="77"/>
  <c r="X16" i="78"/>
  <c r="F23" i="78"/>
  <c r="J26" i="79"/>
  <c r="J31" i="79"/>
  <c r="J46" i="79"/>
  <c r="L58" i="79"/>
  <c r="L82" i="79"/>
  <c r="H32" i="80"/>
  <c r="J59" i="77"/>
  <c r="J63" i="77"/>
  <c r="J67" i="77"/>
  <c r="V71" i="77"/>
  <c r="J79" i="77"/>
  <c r="V83" i="77"/>
  <c r="J89" i="77"/>
  <c r="V111" i="77"/>
  <c r="T122" i="77"/>
  <c r="J82" i="79"/>
  <c r="J76" i="79"/>
  <c r="J72" i="79"/>
  <c r="J58" i="79"/>
  <c r="J48" i="79"/>
  <c r="J40" i="79"/>
  <c r="J36" i="79"/>
  <c r="J84" i="79"/>
  <c r="J66" i="79"/>
  <c r="J32" i="79"/>
  <c r="J18" i="79"/>
  <c r="J85" i="79"/>
  <c r="J77" i="79"/>
  <c r="J73" i="79"/>
  <c r="J49" i="79"/>
  <c r="J41" i="79"/>
  <c r="J37" i="79"/>
  <c r="J33" i="79"/>
  <c r="J86" i="79"/>
  <c r="J60" i="79"/>
  <c r="J50" i="79"/>
  <c r="J28" i="79"/>
  <c r="J24" i="79"/>
  <c r="J22" i="79"/>
  <c r="J20" i="79"/>
  <c r="J87" i="79"/>
  <c r="J67" i="79"/>
  <c r="J61" i="79"/>
  <c r="J51" i="79"/>
  <c r="H20" i="79"/>
  <c r="J78" i="79"/>
  <c r="J74" i="79"/>
  <c r="J68" i="79"/>
  <c r="J62" i="79"/>
  <c r="J52" i="79"/>
  <c r="J42" i="79"/>
  <c r="J38" i="79"/>
  <c r="J34" i="79"/>
  <c r="J91" i="79"/>
  <c r="J89" i="79"/>
  <c r="J69" i="79"/>
  <c r="J63" i="79"/>
  <c r="J53" i="79"/>
  <c r="J70" i="79"/>
  <c r="J64" i="79"/>
  <c r="J54" i="79"/>
  <c r="J44" i="79"/>
  <c r="J98" i="79"/>
  <c r="J95" i="79"/>
  <c r="J81" i="79"/>
  <c r="J65" i="79"/>
  <c r="J57" i="79"/>
  <c r="J47" i="79"/>
  <c r="J17" i="79"/>
  <c r="J23" i="79"/>
  <c r="J71" i="79"/>
  <c r="J116" i="77"/>
  <c r="J108" i="77"/>
  <c r="J104" i="77"/>
  <c r="J124" i="77"/>
  <c r="J112" i="77"/>
  <c r="J106" i="77"/>
  <c r="X13" i="77"/>
  <c r="Z13" i="77" s="1"/>
  <c r="J36" i="77"/>
  <c r="J40" i="77"/>
  <c r="V60" i="77"/>
  <c r="V64" i="77"/>
  <c r="V72" i="77"/>
  <c r="J78" i="77"/>
  <c r="J88" i="77"/>
  <c r="V92" i="77"/>
  <c r="J100" i="77"/>
  <c r="V101" i="77"/>
  <c r="V102" i="77"/>
  <c r="J110" i="77"/>
  <c r="V122" i="77"/>
  <c r="N22" i="78"/>
  <c r="J23" i="78"/>
  <c r="T95" i="79"/>
  <c r="J43" i="79"/>
  <c r="J75" i="79"/>
  <c r="J93" i="79"/>
  <c r="Z18" i="80"/>
  <c r="X16" i="81"/>
  <c r="J49" i="77"/>
  <c r="J53" i="77"/>
  <c r="V69" i="77"/>
  <c r="X72" i="77"/>
  <c r="Z72" i="77" s="1"/>
  <c r="J77" i="77"/>
  <c r="L78" i="77"/>
  <c r="N78" i="77" s="1"/>
  <c r="V81" i="77"/>
  <c r="J87" i="77"/>
  <c r="J95" i="77"/>
  <c r="J99" i="77"/>
  <c r="X102" i="77"/>
  <c r="Z102" i="77" s="1"/>
  <c r="V107" i="77"/>
  <c r="N114" i="77"/>
  <c r="J118" i="77"/>
  <c r="J22" i="78"/>
  <c r="N12" i="79"/>
  <c r="X32" i="79"/>
  <c r="J79" i="79"/>
  <c r="N43" i="82"/>
  <c r="L43" i="82"/>
  <c r="N19" i="83"/>
  <c r="H80" i="83"/>
  <c r="V50" i="77"/>
  <c r="V54" i="77"/>
  <c r="J58" i="77"/>
  <c r="J62" i="77"/>
  <c r="J66" i="77"/>
  <c r="V70" i="77"/>
  <c r="J76" i="77"/>
  <c r="J86" i="77"/>
  <c r="V90" i="77"/>
  <c r="J94" i="77"/>
  <c r="V96" i="77"/>
  <c r="L99" i="77"/>
  <c r="J114" i="77"/>
  <c r="V115" i="77"/>
  <c r="V120" i="77"/>
  <c r="F16" i="78"/>
  <c r="L22" i="78"/>
  <c r="R86" i="79"/>
  <c r="R85" i="79"/>
  <c r="R77" i="79"/>
  <c r="R73" i="79"/>
  <c r="R50" i="79"/>
  <c r="R49" i="79"/>
  <c r="R41" i="79"/>
  <c r="R37" i="79"/>
  <c r="R33" i="79"/>
  <c r="R22" i="79"/>
  <c r="R20" i="79"/>
  <c r="R87" i="79"/>
  <c r="R68" i="79"/>
  <c r="R67" i="79"/>
  <c r="R52" i="79"/>
  <c r="R51" i="79"/>
  <c r="R91" i="79"/>
  <c r="R89" i="79"/>
  <c r="R78" i="79"/>
  <c r="R74" i="79"/>
  <c r="R63" i="79"/>
  <c r="R62" i="79"/>
  <c r="R43" i="79"/>
  <c r="R42" i="79"/>
  <c r="R38" i="79"/>
  <c r="R34" i="79"/>
  <c r="R70" i="79"/>
  <c r="R69" i="79"/>
  <c r="R54" i="79"/>
  <c r="R53" i="79"/>
  <c r="R29" i="79"/>
  <c r="R25" i="79"/>
  <c r="R64" i="79"/>
  <c r="R45" i="79"/>
  <c r="R44" i="79"/>
  <c r="X12" i="79"/>
  <c r="R93" i="79"/>
  <c r="R80" i="79"/>
  <c r="R79" i="79"/>
  <c r="R75" i="79"/>
  <c r="R71" i="79"/>
  <c r="R56" i="79"/>
  <c r="R55" i="79"/>
  <c r="R39" i="79"/>
  <c r="R35" i="79"/>
  <c r="R16" i="79"/>
  <c r="R98" i="79"/>
  <c r="R95" i="79"/>
  <c r="R47" i="79"/>
  <c r="R82" i="79"/>
  <c r="R81" i="79"/>
  <c r="R65" i="79"/>
  <c r="R58" i="79"/>
  <c r="R57" i="79"/>
  <c r="R66" i="79"/>
  <c r="R23" i="79"/>
  <c r="R18" i="79"/>
  <c r="J45" i="79"/>
  <c r="J55" i="79"/>
  <c r="R60" i="79"/>
  <c r="L19" i="80"/>
  <c r="Z21" i="80"/>
  <c r="X21" i="80"/>
  <c r="J39" i="77"/>
  <c r="H44" i="77"/>
  <c r="J57" i="77"/>
  <c r="V59" i="77"/>
  <c r="V63" i="77"/>
  <c r="V67" i="77"/>
  <c r="J75" i="77"/>
  <c r="V79" i="77"/>
  <c r="J85" i="77"/>
  <c r="V91" i="77"/>
  <c r="X95" i="77"/>
  <c r="Z95" i="77" s="1"/>
  <c r="J98" i="77"/>
  <c r="V104" i="77"/>
  <c r="J109" i="77"/>
  <c r="J113" i="77"/>
  <c r="P12" i="78"/>
  <c r="N16" i="78"/>
  <c r="H20" i="78"/>
  <c r="Z23" i="78"/>
  <c r="J25" i="78"/>
  <c r="J25" i="79"/>
  <c r="R28" i="79"/>
  <c r="J30" i="79"/>
  <c r="N45" i="79"/>
  <c r="V112" i="77"/>
  <c r="V100" i="77"/>
  <c r="V36" i="77"/>
  <c r="V40" i="77"/>
  <c r="J44" i="77"/>
  <c r="J46" i="77"/>
  <c r="J48" i="77"/>
  <c r="J52" i="77"/>
  <c r="J56" i="77"/>
  <c r="V68" i="77"/>
  <c r="J74" i="77"/>
  <c r="V80" i="77"/>
  <c r="J84" i="77"/>
  <c r="V88" i="77"/>
  <c r="J103" i="77"/>
  <c r="J117" i="77"/>
  <c r="V118" i="77"/>
  <c r="V23" i="78"/>
  <c r="J35" i="79"/>
  <c r="J59" i="79"/>
  <c r="J83" i="79"/>
  <c r="R84" i="79"/>
  <c r="P16" i="80"/>
  <c r="J47" i="77"/>
  <c r="V49" i="77"/>
  <c r="V53" i="77"/>
  <c r="J61" i="77"/>
  <c r="J65" i="77"/>
  <c r="J73" i="77"/>
  <c r="V77" i="77"/>
  <c r="J83" i="77"/>
  <c r="V89" i="77"/>
  <c r="J93" i="77"/>
  <c r="X109" i="77"/>
  <c r="Z109" i="77" s="1"/>
  <c r="F26" i="78"/>
  <c r="F25" i="78"/>
  <c r="D20" i="78"/>
  <c r="Z22" i="78"/>
  <c r="L28" i="78"/>
  <c r="F32" i="78"/>
  <c r="J27" i="79"/>
  <c r="N70" i="79"/>
  <c r="L70" i="79"/>
  <c r="Z84" i="79"/>
  <c r="X84" i="79"/>
  <c r="V33" i="79"/>
  <c r="V37" i="79"/>
  <c r="V41" i="79"/>
  <c r="V49" i="79"/>
  <c r="V61" i="79"/>
  <c r="V73" i="79"/>
  <c r="V77" i="79"/>
  <c r="V85" i="79"/>
  <c r="J32" i="80"/>
  <c r="J30" i="80"/>
  <c r="J34" i="80"/>
  <c r="J39" i="80"/>
  <c r="J36" i="80"/>
  <c r="N14" i="80"/>
  <c r="V22" i="80"/>
  <c r="F26" i="80"/>
  <c r="D16" i="81"/>
  <c r="N19" i="81"/>
  <c r="L29" i="81"/>
  <c r="R59" i="82"/>
  <c r="R58" i="82"/>
  <c r="R26" i="82"/>
  <c r="R22" i="82"/>
  <c r="P18" i="82"/>
  <c r="X12" i="82"/>
  <c r="R70" i="82"/>
  <c r="R69" i="82"/>
  <c r="R65" i="82"/>
  <c r="R50" i="82"/>
  <c r="R49" i="82"/>
  <c r="R80" i="82"/>
  <c r="R60" i="82"/>
  <c r="R41" i="82"/>
  <c r="R40" i="82"/>
  <c r="R36" i="82"/>
  <c r="R32" i="82"/>
  <c r="R71" i="82"/>
  <c r="R52" i="82"/>
  <c r="R51" i="82"/>
  <c r="R27" i="82"/>
  <c r="R23" i="82"/>
  <c r="R66" i="82"/>
  <c r="R43" i="82"/>
  <c r="R42" i="82"/>
  <c r="R61" i="82"/>
  <c r="R54" i="82"/>
  <c r="R53" i="82"/>
  <c r="R37" i="82"/>
  <c r="R33" i="82"/>
  <c r="R82" i="82"/>
  <c r="R73" i="82"/>
  <c r="R72" i="82"/>
  <c r="R45" i="82"/>
  <c r="R44" i="82"/>
  <c r="R28" i="82"/>
  <c r="R24" i="82"/>
  <c r="R67" i="82"/>
  <c r="R55" i="82"/>
  <c r="R74" i="82"/>
  <c r="R62" i="82"/>
  <c r="R46" i="82"/>
  <c r="R38" i="82"/>
  <c r="R34" i="82"/>
  <c r="R15" i="82"/>
  <c r="R85" i="82"/>
  <c r="R64" i="82"/>
  <c r="R63" i="82"/>
  <c r="R48" i="82"/>
  <c r="R47" i="82"/>
  <c r="R39" i="82"/>
  <c r="R35" i="82"/>
  <c r="R31" i="82"/>
  <c r="R20" i="82"/>
  <c r="R18" i="82"/>
  <c r="Z64" i="82"/>
  <c r="X64" i="82"/>
  <c r="V84" i="79"/>
  <c r="R39" i="80"/>
  <c r="R36" i="80"/>
  <c r="R34" i="80"/>
  <c r="T16" i="80"/>
  <c r="R19" i="80"/>
  <c r="R27" i="80"/>
  <c r="V32" i="80"/>
  <c r="V30" i="80"/>
  <c r="V28" i="80"/>
  <c r="V14" i="80"/>
  <c r="V16" i="80"/>
  <c r="V18" i="80"/>
  <c r="R73" i="83"/>
  <c r="R57" i="83"/>
  <c r="R22" i="83"/>
  <c r="R68" i="83"/>
  <c r="R64" i="83"/>
  <c r="R49" i="83"/>
  <c r="R48" i="83"/>
  <c r="R40" i="83"/>
  <c r="R36" i="83"/>
  <c r="R21" i="83"/>
  <c r="R19" i="83"/>
  <c r="R32" i="83"/>
  <c r="R31" i="83"/>
  <c r="R27" i="83"/>
  <c r="R23" i="83"/>
  <c r="P19" i="83"/>
  <c r="R75" i="83"/>
  <c r="R74" i="83"/>
  <c r="R58" i="83"/>
  <c r="R51" i="83"/>
  <c r="R50" i="83"/>
  <c r="R69" i="83"/>
  <c r="R65" i="83"/>
  <c r="R41" i="83"/>
  <c r="R37" i="83"/>
  <c r="R33" i="83"/>
  <c r="R76" i="83"/>
  <c r="R53" i="83"/>
  <c r="R52" i="83"/>
  <c r="R28" i="83"/>
  <c r="R24" i="83"/>
  <c r="R80" i="83"/>
  <c r="R78" i="83"/>
  <c r="R60" i="83"/>
  <c r="R59" i="83"/>
  <c r="R70" i="83"/>
  <c r="R66" i="83"/>
  <c r="R55" i="83"/>
  <c r="R54" i="83"/>
  <c r="R43" i="83"/>
  <c r="R42" i="83"/>
  <c r="R38" i="83"/>
  <c r="R34" i="83"/>
  <c r="R61" i="83"/>
  <c r="R29" i="83"/>
  <c r="R25" i="83"/>
  <c r="R63" i="83"/>
  <c r="R62" i="83"/>
  <c r="R47" i="83"/>
  <c r="R46" i="83"/>
  <c r="R30" i="83"/>
  <c r="R26" i="83"/>
  <c r="R44" i="83"/>
  <c r="R17" i="83"/>
  <c r="X12" i="83"/>
  <c r="R45" i="83"/>
  <c r="R35" i="83"/>
  <c r="R87" i="83"/>
  <c r="R67" i="83"/>
  <c r="R39" i="83"/>
  <c r="R71" i="83"/>
  <c r="R84" i="83"/>
  <c r="R16" i="83"/>
  <c r="R82" i="83"/>
  <c r="R72" i="83"/>
  <c r="V26" i="79"/>
  <c r="V30" i="79"/>
  <c r="V46" i="79"/>
  <c r="V58" i="79"/>
  <c r="V82" i="79"/>
  <c r="X12" i="80"/>
  <c r="V19" i="80"/>
  <c r="F23" i="80"/>
  <c r="J25" i="80"/>
  <c r="V26" i="80"/>
  <c r="V27" i="80"/>
  <c r="L80" i="81"/>
  <c r="X85" i="81"/>
  <c r="P83" i="81"/>
  <c r="X83" i="81" s="1"/>
  <c r="Z18" i="82"/>
  <c r="T78" i="82"/>
  <c r="Z21" i="82"/>
  <c r="X21" i="82"/>
  <c r="R29" i="82"/>
  <c r="Z66" i="85"/>
  <c r="V35" i="79"/>
  <c r="V39" i="79"/>
  <c r="V47" i="79"/>
  <c r="V55" i="79"/>
  <c r="V71" i="79"/>
  <c r="V75" i="79"/>
  <c r="V79" i="79"/>
  <c r="V93" i="79"/>
  <c r="V95" i="79"/>
  <c r="V98" i="79"/>
  <c r="Z12" i="80"/>
  <c r="R30" i="80"/>
  <c r="N18" i="81"/>
  <c r="X65" i="81"/>
  <c r="Z65" i="81" s="1"/>
  <c r="R57" i="82"/>
  <c r="V64" i="79"/>
  <c r="V80" i="79"/>
  <c r="D16" i="80"/>
  <c r="V34" i="80"/>
  <c r="V39" i="80"/>
  <c r="N47" i="81"/>
  <c r="L47" i="81"/>
  <c r="L68" i="81"/>
  <c r="N80" i="81"/>
  <c r="Z57" i="82"/>
  <c r="X57" i="82"/>
  <c r="V69" i="79"/>
  <c r="R25" i="80"/>
  <c r="X30" i="80"/>
  <c r="N76" i="81"/>
  <c r="N20" i="82"/>
  <c r="N54" i="82"/>
  <c r="L54" i="82"/>
  <c r="V70" i="79"/>
  <c r="V74" i="79"/>
  <c r="V78" i="79"/>
  <c r="R24" i="80"/>
  <c r="Z48" i="82"/>
  <c r="X48" i="82"/>
  <c r="D12" i="82"/>
  <c r="L13" i="82"/>
  <c r="X20" i="82"/>
  <c r="Z20" i="82" s="1"/>
  <c r="P79" i="84"/>
  <c r="X21" i="84"/>
  <c r="R21" i="84"/>
  <c r="V24" i="79"/>
  <c r="V28" i="79"/>
  <c r="V52" i="79"/>
  <c r="V60" i="79"/>
  <c r="F32" i="80"/>
  <c r="F30" i="80"/>
  <c r="F39" i="80"/>
  <c r="F36" i="80"/>
  <c r="F28" i="80"/>
  <c r="F27" i="80"/>
  <c r="R22" i="80"/>
  <c r="R23" i="80"/>
  <c r="J27" i="80"/>
  <c r="R28" i="80"/>
  <c r="X53" i="81"/>
  <c r="Z53" i="81" s="1"/>
  <c r="R78" i="82"/>
  <c r="R56" i="83"/>
  <c r="X12" i="81"/>
  <c r="V19" i="81"/>
  <c r="V23" i="81"/>
  <c r="V27" i="81"/>
  <c r="J31" i="81"/>
  <c r="R32" i="81"/>
  <c r="J35" i="81"/>
  <c r="R36" i="81"/>
  <c r="J39" i="81"/>
  <c r="V43" i="81"/>
  <c r="F47" i="81"/>
  <c r="F48" i="81"/>
  <c r="J49" i="81"/>
  <c r="R52" i="81"/>
  <c r="R53" i="81"/>
  <c r="V55" i="81"/>
  <c r="V59" i="81"/>
  <c r="J63" i="81"/>
  <c r="R64" i="81"/>
  <c r="R65" i="81"/>
  <c r="V71" i="81"/>
  <c r="V75" i="81"/>
  <c r="J83" i="81"/>
  <c r="J84" i="81"/>
  <c r="V89" i="81"/>
  <c r="V91" i="81"/>
  <c r="V94" i="81"/>
  <c r="Z12" i="82"/>
  <c r="V22" i="82"/>
  <c r="V26" i="82"/>
  <c r="J34" i="82"/>
  <c r="J38" i="82"/>
  <c r="J46" i="82"/>
  <c r="V50" i="82"/>
  <c r="V58" i="82"/>
  <c r="J62" i="82"/>
  <c r="V70" i="82"/>
  <c r="J74" i="82"/>
  <c r="D12" i="83"/>
  <c r="L13" i="83"/>
  <c r="V46" i="83"/>
  <c r="X12" i="84"/>
  <c r="V53" i="84"/>
  <c r="V61" i="84"/>
  <c r="V69" i="84"/>
  <c r="D12" i="85"/>
  <c r="N25" i="85"/>
  <c r="L25" i="85"/>
  <c r="R56" i="85"/>
  <c r="J46" i="81"/>
  <c r="V50" i="81"/>
  <c r="V58" i="81"/>
  <c r="J62" i="81"/>
  <c r="R63" i="81"/>
  <c r="F67" i="81"/>
  <c r="J68" i="81"/>
  <c r="V70" i="81"/>
  <c r="V74" i="81"/>
  <c r="F78" i="81"/>
  <c r="F79" i="81"/>
  <c r="J80" i="81"/>
  <c r="R85" i="81"/>
  <c r="J33" i="82"/>
  <c r="J37" i="82"/>
  <c r="J43" i="82"/>
  <c r="J53" i="82"/>
  <c r="V57" i="82"/>
  <c r="J61" i="82"/>
  <c r="J82" i="82"/>
  <c r="R42" i="85"/>
  <c r="V46" i="85"/>
  <c r="H16" i="81"/>
  <c r="F19" i="81"/>
  <c r="F20" i="81"/>
  <c r="F24" i="81"/>
  <c r="F28" i="81"/>
  <c r="J29" i="81"/>
  <c r="V31" i="81"/>
  <c r="V35" i="81"/>
  <c r="V39" i="81"/>
  <c r="R48" i="81"/>
  <c r="R49" i="81"/>
  <c r="V51" i="81"/>
  <c r="F55" i="81"/>
  <c r="F56" i="81"/>
  <c r="V63" i="81"/>
  <c r="J67" i="81"/>
  <c r="F72" i="81"/>
  <c r="J79" i="81"/>
  <c r="R83" i="81"/>
  <c r="R84" i="81"/>
  <c r="V85" i="81"/>
  <c r="V87" i="81"/>
  <c r="F91" i="81"/>
  <c r="F94" i="81"/>
  <c r="V30" i="82"/>
  <c r="V34" i="82"/>
  <c r="V38" i="82"/>
  <c r="J42" i="82"/>
  <c r="V46" i="82"/>
  <c r="J52" i="82"/>
  <c r="V62" i="82"/>
  <c r="J66" i="82"/>
  <c r="V74" i="82"/>
  <c r="V76" i="82"/>
  <c r="V78" i="82"/>
  <c r="N49" i="83"/>
  <c r="T84" i="83"/>
  <c r="V42" i="85"/>
  <c r="J14" i="81"/>
  <c r="J16" i="81"/>
  <c r="J18" i="81"/>
  <c r="J20" i="81"/>
  <c r="R21" i="81"/>
  <c r="J24" i="81"/>
  <c r="R25" i="81"/>
  <c r="J28" i="81"/>
  <c r="F33" i="81"/>
  <c r="F37" i="81"/>
  <c r="V40" i="81"/>
  <c r="F44" i="81"/>
  <c r="F45" i="81"/>
  <c r="V48" i="81"/>
  <c r="J56" i="81"/>
  <c r="R57" i="81"/>
  <c r="F60" i="81"/>
  <c r="F61" i="81"/>
  <c r="R69" i="81"/>
  <c r="J72" i="81"/>
  <c r="R73" i="81"/>
  <c r="F76" i="81"/>
  <c r="F77" i="81"/>
  <c r="J78" i="81"/>
  <c r="R81" i="81"/>
  <c r="V84" i="81"/>
  <c r="J23" i="82"/>
  <c r="J27" i="82"/>
  <c r="J41" i="82"/>
  <c r="J51" i="82"/>
  <c r="V55" i="82"/>
  <c r="V67" i="82"/>
  <c r="J71" i="82"/>
  <c r="V16" i="83"/>
  <c r="Z19" i="83"/>
  <c r="V22" i="83"/>
  <c r="V71" i="83"/>
  <c r="R72" i="84"/>
  <c r="R71" i="84"/>
  <c r="R64" i="84"/>
  <c r="R63" i="84"/>
  <c r="R43" i="84"/>
  <c r="R39" i="84"/>
  <c r="R35" i="84"/>
  <c r="R55" i="84"/>
  <c r="R54" i="84"/>
  <c r="R30" i="84"/>
  <c r="R26" i="84"/>
  <c r="R74" i="84"/>
  <c r="R73" i="84"/>
  <c r="R66" i="84"/>
  <c r="R65" i="84"/>
  <c r="R57" i="84"/>
  <c r="R56" i="84"/>
  <c r="R45" i="84"/>
  <c r="R44" i="84"/>
  <c r="R40" i="84"/>
  <c r="R36" i="84"/>
  <c r="R17" i="84"/>
  <c r="R75" i="84"/>
  <c r="R67" i="84"/>
  <c r="R31" i="84"/>
  <c r="R27" i="84"/>
  <c r="R79" i="84"/>
  <c r="R77" i="84"/>
  <c r="R58" i="84"/>
  <c r="R47" i="84"/>
  <c r="R46" i="84"/>
  <c r="R18" i="84"/>
  <c r="R41" i="84"/>
  <c r="R37" i="84"/>
  <c r="R68" i="84"/>
  <c r="R49" i="84"/>
  <c r="R48" i="84"/>
  <c r="R32" i="84"/>
  <c r="R28" i="84"/>
  <c r="R81" i="84"/>
  <c r="R60" i="84"/>
  <c r="R59" i="84"/>
  <c r="R24" i="84"/>
  <c r="R19" i="84"/>
  <c r="R53" i="84"/>
  <c r="R52" i="84"/>
  <c r="N23" i="84"/>
  <c r="R19" i="85"/>
  <c r="V33" i="85"/>
  <c r="T56" i="88"/>
  <c r="Z16" i="88"/>
  <c r="J19" i="81"/>
  <c r="V25" i="81"/>
  <c r="R30" i="81"/>
  <c r="J33" i="81"/>
  <c r="R34" i="81"/>
  <c r="J37" i="81"/>
  <c r="R38" i="81"/>
  <c r="J45" i="81"/>
  <c r="R46" i="81"/>
  <c r="R47" i="81"/>
  <c r="V49" i="81"/>
  <c r="F53" i="81"/>
  <c r="F54" i="81"/>
  <c r="J55" i="81"/>
  <c r="V57" i="81"/>
  <c r="J61" i="81"/>
  <c r="R62" i="81"/>
  <c r="F65" i="81"/>
  <c r="F66" i="81"/>
  <c r="V69" i="81"/>
  <c r="V73" i="81"/>
  <c r="J77" i="81"/>
  <c r="V81" i="81"/>
  <c r="V83" i="81"/>
  <c r="J91" i="81"/>
  <c r="J94" i="81"/>
  <c r="J32" i="82"/>
  <c r="J36" i="82"/>
  <c r="J40" i="82"/>
  <c r="V44" i="82"/>
  <c r="J50" i="82"/>
  <c r="J60" i="82"/>
  <c r="J70" i="82"/>
  <c r="V72" i="82"/>
  <c r="J80" i="82"/>
  <c r="D56" i="88"/>
  <c r="F23" i="81"/>
  <c r="F27" i="81"/>
  <c r="V30" i="81"/>
  <c r="V34" i="81"/>
  <c r="V38" i="81"/>
  <c r="F42" i="81"/>
  <c r="F43" i="81"/>
  <c r="J44" i="81"/>
  <c r="V46" i="81"/>
  <c r="J54" i="81"/>
  <c r="F59" i="81"/>
  <c r="J60" i="81"/>
  <c r="V62" i="81"/>
  <c r="J66" i="81"/>
  <c r="R67" i="81"/>
  <c r="R68" i="81"/>
  <c r="F71" i="81"/>
  <c r="F75" i="81"/>
  <c r="J76" i="81"/>
  <c r="R79" i="81"/>
  <c r="R80" i="81"/>
  <c r="F89" i="81"/>
  <c r="H18" i="82"/>
  <c r="V33" i="82"/>
  <c r="V37" i="82"/>
  <c r="V45" i="82"/>
  <c r="J49" i="82"/>
  <c r="V53" i="82"/>
  <c r="J59" i="82"/>
  <c r="V61" i="82"/>
  <c r="J65" i="82"/>
  <c r="J69" i="82"/>
  <c r="V73" i="82"/>
  <c r="V82" i="82"/>
  <c r="N21" i="83"/>
  <c r="Z47" i="83"/>
  <c r="X47" i="83"/>
  <c r="R23" i="84"/>
  <c r="V25" i="84"/>
  <c r="V29" i="84"/>
  <c r="V33" i="84"/>
  <c r="R62" i="84"/>
  <c r="V64" i="84"/>
  <c r="R70" i="84"/>
  <c r="N36" i="85"/>
  <c r="R38" i="85"/>
  <c r="R20" i="81"/>
  <c r="J23" i="81"/>
  <c r="R24" i="81"/>
  <c r="J27" i="81"/>
  <c r="R28" i="81"/>
  <c r="R29" i="81"/>
  <c r="F32" i="81"/>
  <c r="F36" i="81"/>
  <c r="J43" i="81"/>
  <c r="V47" i="81"/>
  <c r="F51" i="81"/>
  <c r="F52" i="81"/>
  <c r="J53" i="81"/>
  <c r="R56" i="81"/>
  <c r="J59" i="81"/>
  <c r="L60" i="81"/>
  <c r="N60" i="81" s="1"/>
  <c r="F64" i="81"/>
  <c r="J65" i="81"/>
  <c r="V67" i="81"/>
  <c r="J71" i="81"/>
  <c r="R72" i="81"/>
  <c r="J75" i="81"/>
  <c r="L76" i="81"/>
  <c r="V79" i="81"/>
  <c r="F87" i="81"/>
  <c r="J89" i="81"/>
  <c r="N12" i="82"/>
  <c r="J18" i="82"/>
  <c r="J20" i="82"/>
  <c r="J22" i="82"/>
  <c r="J26" i="82"/>
  <c r="V42" i="82"/>
  <c r="X45" i="82"/>
  <c r="Z45" i="82" s="1"/>
  <c r="J48" i="82"/>
  <c r="V54" i="82"/>
  <c r="J58" i="82"/>
  <c r="J64" i="82"/>
  <c r="V66" i="82"/>
  <c r="X73" i="82"/>
  <c r="V68" i="83"/>
  <c r="V64" i="83"/>
  <c r="V48" i="83"/>
  <c r="V40" i="83"/>
  <c r="V36" i="83"/>
  <c r="V32" i="83"/>
  <c r="V75" i="83"/>
  <c r="V51" i="83"/>
  <c r="V31" i="83"/>
  <c r="V27" i="83"/>
  <c r="V23" i="83"/>
  <c r="V74" i="83"/>
  <c r="V58" i="83"/>
  <c r="V50" i="83"/>
  <c r="V69" i="83"/>
  <c r="V65" i="83"/>
  <c r="V53" i="83"/>
  <c r="V41" i="83"/>
  <c r="V37" i="83"/>
  <c r="V33" i="83"/>
  <c r="V80" i="83"/>
  <c r="V78" i="83"/>
  <c r="V76" i="83"/>
  <c r="V60" i="83"/>
  <c r="V52" i="83"/>
  <c r="V28" i="83"/>
  <c r="V24" i="83"/>
  <c r="V59" i="83"/>
  <c r="V55" i="83"/>
  <c r="V43" i="83"/>
  <c r="V70" i="83"/>
  <c r="V66" i="83"/>
  <c r="V54" i="83"/>
  <c r="V42" i="83"/>
  <c r="V38" i="83"/>
  <c r="V34" i="83"/>
  <c r="V61" i="83"/>
  <c r="V45" i="83"/>
  <c r="V29" i="83"/>
  <c r="V25" i="83"/>
  <c r="V87" i="83"/>
  <c r="V84" i="83"/>
  <c r="V82" i="83"/>
  <c r="V72" i="83"/>
  <c r="V56" i="83"/>
  <c r="V44" i="83"/>
  <c r="V73" i="83"/>
  <c r="V57" i="83"/>
  <c r="V49" i="83"/>
  <c r="V21" i="83"/>
  <c r="V19" i="83"/>
  <c r="V17" i="83"/>
  <c r="V47" i="83"/>
  <c r="Z63" i="83"/>
  <c r="X63" i="83"/>
  <c r="Z62" i="84"/>
  <c r="X62" i="84"/>
  <c r="Z70" i="84"/>
  <c r="X70" i="84"/>
  <c r="N12" i="81"/>
  <c r="R14" i="81"/>
  <c r="R16" i="81"/>
  <c r="R18" i="81"/>
  <c r="V20" i="81"/>
  <c r="V24" i="81"/>
  <c r="V28" i="81"/>
  <c r="J32" i="81"/>
  <c r="R33" i="81"/>
  <c r="J36" i="81"/>
  <c r="R37" i="81"/>
  <c r="F40" i="81"/>
  <c r="F41" i="81"/>
  <c r="J42" i="81"/>
  <c r="R45" i="81"/>
  <c r="J52" i="81"/>
  <c r="V56" i="81"/>
  <c r="R61" i="81"/>
  <c r="J64" i="81"/>
  <c r="V68" i="81"/>
  <c r="V72" i="81"/>
  <c r="R77" i="81"/>
  <c r="R78" i="81"/>
  <c r="V80" i="81"/>
  <c r="J21" i="82"/>
  <c r="V23" i="82"/>
  <c r="V27" i="82"/>
  <c r="J31" i="82"/>
  <c r="J35" i="82"/>
  <c r="J39" i="82"/>
  <c r="V43" i="82"/>
  <c r="J47" i="82"/>
  <c r="V51" i="82"/>
  <c r="J57" i="82"/>
  <c r="J63" i="82"/>
  <c r="V71" i="82"/>
  <c r="V63" i="83"/>
  <c r="R51" i="84"/>
  <c r="R92" i="85"/>
  <c r="R84" i="85"/>
  <c r="R80" i="85"/>
  <c r="R69" i="85"/>
  <c r="R68" i="85"/>
  <c r="R49" i="85"/>
  <c r="R48" i="85"/>
  <c r="R75" i="85"/>
  <c r="R74" i="85"/>
  <c r="R70" i="85"/>
  <c r="R51" i="85"/>
  <c r="R50" i="85"/>
  <c r="R94" i="85"/>
  <c r="R93" i="85"/>
  <c r="R86" i="85"/>
  <c r="R85" i="85"/>
  <c r="R81" i="85"/>
  <c r="R62" i="85"/>
  <c r="R61" i="85"/>
  <c r="R77" i="85"/>
  <c r="R76" i="85"/>
  <c r="R53" i="85"/>
  <c r="R52" i="85"/>
  <c r="R95" i="85"/>
  <c r="R87" i="85"/>
  <c r="R71" i="85"/>
  <c r="R64" i="85"/>
  <c r="R63" i="85"/>
  <c r="R97" i="85"/>
  <c r="R82" i="85"/>
  <c r="R78" i="85"/>
  <c r="R66" i="85"/>
  <c r="R65" i="85"/>
  <c r="R89" i="85"/>
  <c r="R88" i="85"/>
  <c r="R72" i="85"/>
  <c r="R101" i="85"/>
  <c r="R83" i="85"/>
  <c r="R79" i="85"/>
  <c r="R67" i="85"/>
  <c r="R73" i="85"/>
  <c r="R58" i="85"/>
  <c r="R57" i="85"/>
  <c r="R20" i="85"/>
  <c r="R43" i="85"/>
  <c r="R39" i="85"/>
  <c r="R54" i="85"/>
  <c r="R34" i="85"/>
  <c r="R30" i="85"/>
  <c r="R91" i="85"/>
  <c r="R26" i="85"/>
  <c r="R21" i="85"/>
  <c r="R44" i="85"/>
  <c r="R40" i="85"/>
  <c r="R25" i="85"/>
  <c r="R59" i="85"/>
  <c r="R36" i="85"/>
  <c r="R35" i="85"/>
  <c r="R31" i="85"/>
  <c r="R27" i="85"/>
  <c r="P23" i="85"/>
  <c r="R55" i="85"/>
  <c r="R45" i="85"/>
  <c r="R41" i="85"/>
  <c r="R37" i="85"/>
  <c r="R18" i="85"/>
  <c r="R32" i="85"/>
  <c r="R28" i="85"/>
  <c r="X12" i="85"/>
  <c r="R90" i="85"/>
  <c r="R33" i="85"/>
  <c r="R29" i="85"/>
  <c r="H99" i="85"/>
  <c r="R19" i="81"/>
  <c r="F22" i="81"/>
  <c r="F26" i="81"/>
  <c r="V29" i="81"/>
  <c r="V33" i="81"/>
  <c r="V37" i="81"/>
  <c r="J41" i="81"/>
  <c r="V45" i="81"/>
  <c r="F49" i="81"/>
  <c r="F50" i="81"/>
  <c r="J51" i="81"/>
  <c r="R54" i="81"/>
  <c r="R55" i="81"/>
  <c r="F58" i="81"/>
  <c r="V61" i="81"/>
  <c r="R66" i="81"/>
  <c r="F70" i="81"/>
  <c r="F74" i="81"/>
  <c r="V77" i="81"/>
  <c r="F83" i="81"/>
  <c r="F85" i="81"/>
  <c r="J87" i="81"/>
  <c r="R91" i="81"/>
  <c r="R94" i="81"/>
  <c r="J16" i="82"/>
  <c r="J30" i="82"/>
  <c r="V32" i="82"/>
  <c r="V36" i="82"/>
  <c r="V40" i="82"/>
  <c r="V52" i="82"/>
  <c r="J56" i="82"/>
  <c r="V60" i="82"/>
  <c r="J68" i="82"/>
  <c r="J76" i="82"/>
  <c r="J78" i="82"/>
  <c r="V80" i="82"/>
  <c r="J85" i="82"/>
  <c r="Z12" i="83"/>
  <c r="X53" i="84"/>
  <c r="V75" i="85"/>
  <c r="V59" i="85"/>
  <c r="V51" i="85"/>
  <c r="V94" i="85"/>
  <c r="V93" i="85"/>
  <c r="V85" i="85"/>
  <c r="V81" i="85"/>
  <c r="V77" i="85"/>
  <c r="V61" i="85"/>
  <c r="V53" i="85"/>
  <c r="V76" i="85"/>
  <c r="V64" i="85"/>
  <c r="V52" i="85"/>
  <c r="V97" i="85"/>
  <c r="V95" i="85"/>
  <c r="V87" i="85"/>
  <c r="V71" i="85"/>
  <c r="V63" i="85"/>
  <c r="V82" i="85"/>
  <c r="V78" i="85"/>
  <c r="V66" i="85"/>
  <c r="V54" i="85"/>
  <c r="V89" i="85"/>
  <c r="V88" i="85"/>
  <c r="V72" i="85"/>
  <c r="V56" i="85"/>
  <c r="V101" i="85"/>
  <c r="V91" i="85"/>
  <c r="V83" i="85"/>
  <c r="V79" i="85"/>
  <c r="V67" i="85"/>
  <c r="V55" i="85"/>
  <c r="V90" i="85"/>
  <c r="V92" i="85"/>
  <c r="V84" i="85"/>
  <c r="V80" i="85"/>
  <c r="V68" i="85"/>
  <c r="V60" i="85"/>
  <c r="V43" i="85"/>
  <c r="V39" i="85"/>
  <c r="V73" i="85"/>
  <c r="V70" i="85"/>
  <c r="V34" i="85"/>
  <c r="V30" i="85"/>
  <c r="V26" i="85"/>
  <c r="V48" i="85"/>
  <c r="V25" i="85"/>
  <c r="V23" i="85"/>
  <c r="V21" i="85"/>
  <c r="V44" i="85"/>
  <c r="V40" i="85"/>
  <c r="V36" i="85"/>
  <c r="T23" i="85"/>
  <c r="V57" i="85"/>
  <c r="V35" i="85"/>
  <c r="V31" i="85"/>
  <c r="V27" i="85"/>
  <c r="V69" i="85"/>
  <c r="V49" i="85"/>
  <c r="V18" i="85"/>
  <c r="V86" i="85"/>
  <c r="V65" i="85"/>
  <c r="V45" i="85"/>
  <c r="V41" i="85"/>
  <c r="V37" i="85"/>
  <c r="V32" i="85"/>
  <c r="V28" i="85"/>
  <c r="Z12" i="85"/>
  <c r="V74" i="85"/>
  <c r="V62" i="85"/>
  <c r="V58" i="85"/>
  <c r="V47" i="85"/>
  <c r="V19" i="85"/>
  <c r="V20" i="85"/>
  <c r="V29" i="85"/>
  <c r="R47" i="85"/>
  <c r="V14" i="81"/>
  <c r="V16" i="81"/>
  <c r="V18" i="81"/>
  <c r="J22" i="81"/>
  <c r="R23" i="81"/>
  <c r="J26" i="81"/>
  <c r="R27" i="81"/>
  <c r="F31" i="81"/>
  <c r="F35" i="81"/>
  <c r="F39" i="81"/>
  <c r="J40" i="81"/>
  <c r="R43" i="81"/>
  <c r="R44" i="81"/>
  <c r="J50" i="81"/>
  <c r="V54" i="81"/>
  <c r="J58" i="81"/>
  <c r="R59" i="81"/>
  <c r="R60" i="81"/>
  <c r="F63" i="81"/>
  <c r="V66" i="81"/>
  <c r="J70" i="81"/>
  <c r="R71" i="81"/>
  <c r="J74" i="81"/>
  <c r="R75" i="81"/>
  <c r="R76" i="81"/>
  <c r="J15" i="82"/>
  <c r="J25" i="82"/>
  <c r="V41" i="82"/>
  <c r="V49" i="82"/>
  <c r="V65" i="82"/>
  <c r="X72" i="83"/>
  <c r="V74" i="84"/>
  <c r="V66" i="84"/>
  <c r="V54" i="84"/>
  <c r="V30" i="84"/>
  <c r="V26" i="84"/>
  <c r="V73" i="84"/>
  <c r="V65" i="84"/>
  <c r="V57" i="84"/>
  <c r="V45" i="84"/>
  <c r="V17" i="84"/>
  <c r="V56" i="84"/>
  <c r="V44" i="84"/>
  <c r="V40" i="84"/>
  <c r="V36" i="84"/>
  <c r="V79" i="84"/>
  <c r="V77" i="84"/>
  <c r="V75" i="84"/>
  <c r="V67" i="84"/>
  <c r="V47" i="84"/>
  <c r="V31" i="84"/>
  <c r="V27" i="84"/>
  <c r="V58" i="84"/>
  <c r="V46" i="84"/>
  <c r="V18" i="84"/>
  <c r="V49" i="84"/>
  <c r="V41" i="84"/>
  <c r="V37" i="84"/>
  <c r="V68" i="84"/>
  <c r="V60" i="84"/>
  <c r="V48" i="84"/>
  <c r="V32" i="84"/>
  <c r="V28" i="84"/>
  <c r="V24" i="84"/>
  <c r="V86" i="84"/>
  <c r="V83" i="84"/>
  <c r="V81" i="84"/>
  <c r="V59" i="84"/>
  <c r="V51" i="84"/>
  <c r="V23" i="84"/>
  <c r="V21" i="84"/>
  <c r="V19" i="84"/>
  <c r="V70" i="84"/>
  <c r="V62" i="84"/>
  <c r="V50" i="84"/>
  <c r="V42" i="84"/>
  <c r="V38" i="84"/>
  <c r="V34" i="84"/>
  <c r="T21" i="84"/>
  <c r="Z12" i="84"/>
  <c r="V71" i="84"/>
  <c r="V63" i="84"/>
  <c r="V55" i="84"/>
  <c r="V43" i="84"/>
  <c r="V39" i="84"/>
  <c r="V35" i="84"/>
  <c r="R61" i="84"/>
  <c r="R69" i="84"/>
  <c r="X47" i="85"/>
  <c r="Z47" i="85" s="1"/>
  <c r="X58" i="85"/>
  <c r="Z58" i="85" s="1"/>
  <c r="J25" i="83"/>
  <c r="J29" i="83"/>
  <c r="J43" i="83"/>
  <c r="J55" i="83"/>
  <c r="J61" i="83"/>
  <c r="J19" i="84"/>
  <c r="F28" i="84"/>
  <c r="F32" i="84"/>
  <c r="F47" i="84"/>
  <c r="F48" i="84"/>
  <c r="J49" i="84"/>
  <c r="J59" i="84"/>
  <c r="F68" i="84"/>
  <c r="F77" i="84"/>
  <c r="F79" i="84"/>
  <c r="J81" i="84"/>
  <c r="J18" i="85"/>
  <c r="J28" i="85"/>
  <c r="J32" i="85"/>
  <c r="X66" i="85"/>
  <c r="F86" i="86"/>
  <c r="F61" i="86"/>
  <c r="F60" i="86"/>
  <c r="F53" i="86"/>
  <c r="F52" i="86"/>
  <c r="F29" i="86"/>
  <c r="F25" i="86"/>
  <c r="F88" i="86"/>
  <c r="F76" i="86"/>
  <c r="F72" i="86"/>
  <c r="F68" i="86"/>
  <c r="F44" i="86"/>
  <c r="F43" i="86"/>
  <c r="L12" i="86"/>
  <c r="F55" i="86"/>
  <c r="F54" i="86"/>
  <c r="F39" i="86"/>
  <c r="F35" i="86"/>
  <c r="F78" i="86"/>
  <c r="F77" i="86"/>
  <c r="F62" i="86"/>
  <c r="F46" i="86"/>
  <c r="F45" i="86"/>
  <c r="F30" i="86"/>
  <c r="F26" i="86"/>
  <c r="F93" i="86"/>
  <c r="F90" i="86"/>
  <c r="F73" i="86"/>
  <c r="F69" i="86"/>
  <c r="F57" i="86"/>
  <c r="F56" i="86"/>
  <c r="F17" i="86"/>
  <c r="F16" i="86"/>
  <c r="F64" i="86"/>
  <c r="F63" i="86"/>
  <c r="F48" i="86"/>
  <c r="F47" i="86"/>
  <c r="F40" i="86"/>
  <c r="F36" i="86"/>
  <c r="F79" i="86"/>
  <c r="F31" i="86"/>
  <c r="F27" i="86"/>
  <c r="F74" i="86"/>
  <c r="F70" i="86"/>
  <c r="F58" i="86"/>
  <c r="F18" i="86"/>
  <c r="F81" i="86"/>
  <c r="F80" i="86"/>
  <c r="F65" i="86"/>
  <c r="F49" i="86"/>
  <c r="F41" i="86"/>
  <c r="F37" i="86"/>
  <c r="F33" i="86"/>
  <c r="F32" i="86"/>
  <c r="F28" i="86"/>
  <c r="F24" i="86"/>
  <c r="F23" i="86"/>
  <c r="F83" i="86"/>
  <c r="F42" i="86"/>
  <c r="F38" i="86"/>
  <c r="F34" i="86"/>
  <c r="D20" i="86"/>
  <c r="Z47" i="86"/>
  <c r="X47" i="86"/>
  <c r="F50" i="86"/>
  <c r="Z63" i="86"/>
  <c r="X63" i="86"/>
  <c r="F84" i="86"/>
  <c r="Z23" i="87"/>
  <c r="X23" i="87"/>
  <c r="J24" i="83"/>
  <c r="J28" i="83"/>
  <c r="J52" i="83"/>
  <c r="J76" i="83"/>
  <c r="J18" i="84"/>
  <c r="F27" i="84"/>
  <c r="F31" i="84"/>
  <c r="J46" i="84"/>
  <c r="J58" i="84"/>
  <c r="F66" i="84"/>
  <c r="F67" i="84"/>
  <c r="F74" i="84"/>
  <c r="F75" i="84"/>
  <c r="J23" i="85"/>
  <c r="J25" i="85"/>
  <c r="J27" i="85"/>
  <c r="J31" i="85"/>
  <c r="J35" i="85"/>
  <c r="N49" i="85"/>
  <c r="J65" i="85"/>
  <c r="V28" i="87"/>
  <c r="V26" i="87"/>
  <c r="V24" i="87"/>
  <c r="V35" i="87"/>
  <c r="V32" i="87"/>
  <c r="V30" i="87"/>
  <c r="V21" i="87"/>
  <c r="V20" i="87"/>
  <c r="V18" i="87"/>
  <c r="V16" i="87"/>
  <c r="Z12" i="87"/>
  <c r="V23" i="87"/>
  <c r="T18" i="87"/>
  <c r="J33" i="83"/>
  <c r="J37" i="83"/>
  <c r="J41" i="83"/>
  <c r="J51" i="83"/>
  <c r="J65" i="83"/>
  <c r="J69" i="83"/>
  <c r="J75" i="83"/>
  <c r="J17" i="84"/>
  <c r="J27" i="84"/>
  <c r="J31" i="84"/>
  <c r="F36" i="84"/>
  <c r="F40" i="84"/>
  <c r="F44" i="84"/>
  <c r="J45" i="84"/>
  <c r="F55" i="84"/>
  <c r="F56" i="84"/>
  <c r="J57" i="84"/>
  <c r="J67" i="84"/>
  <c r="J75" i="84"/>
  <c r="J26" i="85"/>
  <c r="J40" i="85"/>
  <c r="J44" i="85"/>
  <c r="V62" i="86"/>
  <c r="V22" i="87"/>
  <c r="J32" i="83"/>
  <c r="J50" i="83"/>
  <c r="J58" i="83"/>
  <c r="J74" i="83"/>
  <c r="J36" i="84"/>
  <c r="J40" i="84"/>
  <c r="J44" i="84"/>
  <c r="J56" i="84"/>
  <c r="F64" i="84"/>
  <c r="F65" i="84"/>
  <c r="J66" i="84"/>
  <c r="F72" i="84"/>
  <c r="F73" i="84"/>
  <c r="J74" i="84"/>
  <c r="J61" i="85"/>
  <c r="L12" i="87"/>
  <c r="F22" i="87"/>
  <c r="F21" i="87"/>
  <c r="F20" i="87"/>
  <c r="F18" i="87"/>
  <c r="F16" i="87"/>
  <c r="F24" i="87"/>
  <c r="F23" i="87"/>
  <c r="D18" i="87"/>
  <c r="F26" i="87"/>
  <c r="F30" i="87"/>
  <c r="J19" i="83"/>
  <c r="J21" i="83"/>
  <c r="J23" i="83"/>
  <c r="J27" i="83"/>
  <c r="J31" i="83"/>
  <c r="J49" i="83"/>
  <c r="F53" i="84"/>
  <c r="F54" i="84"/>
  <c r="J55" i="84"/>
  <c r="J65" i="84"/>
  <c r="J73" i="84"/>
  <c r="J30" i="85"/>
  <c r="J34" i="85"/>
  <c r="J54" i="85"/>
  <c r="H90" i="86"/>
  <c r="N83" i="86"/>
  <c r="L83" i="86"/>
  <c r="J22" i="83"/>
  <c r="J36" i="83"/>
  <c r="J40" i="83"/>
  <c r="J48" i="83"/>
  <c r="J64" i="83"/>
  <c r="J68" i="83"/>
  <c r="D21" i="84"/>
  <c r="J26" i="84"/>
  <c r="J30" i="84"/>
  <c r="F34" i="84"/>
  <c r="F35" i="84"/>
  <c r="F39" i="84"/>
  <c r="F43" i="84"/>
  <c r="J54" i="84"/>
  <c r="F62" i="84"/>
  <c r="F63" i="84"/>
  <c r="J64" i="84"/>
  <c r="F70" i="84"/>
  <c r="F71" i="84"/>
  <c r="J72" i="84"/>
  <c r="L13" i="85"/>
  <c r="N13" i="85" s="1"/>
  <c r="J39" i="85"/>
  <c r="J43" i="85"/>
  <c r="V30" i="86"/>
  <c r="R24" i="87"/>
  <c r="R26" i="87"/>
  <c r="R30" i="87"/>
  <c r="R21" i="87"/>
  <c r="X12" i="87"/>
  <c r="R23" i="87"/>
  <c r="R22" i="87"/>
  <c r="P18" i="87"/>
  <c r="J23" i="88"/>
  <c r="J17" i="83"/>
  <c r="L22" i="83"/>
  <c r="J47" i="83"/>
  <c r="J57" i="83"/>
  <c r="X60" i="83"/>
  <c r="J63" i="83"/>
  <c r="J73" i="83"/>
  <c r="X78" i="83"/>
  <c r="F21" i="84"/>
  <c r="F23" i="84"/>
  <c r="J35" i="84"/>
  <c r="J39" i="84"/>
  <c r="J43" i="84"/>
  <c r="F51" i="84"/>
  <c r="F52" i="84"/>
  <c r="J53" i="84"/>
  <c r="J63" i="84"/>
  <c r="L64" i="84"/>
  <c r="J71" i="84"/>
  <c r="L72" i="84"/>
  <c r="F83" i="84"/>
  <c r="F86" i="84"/>
  <c r="L53" i="85"/>
  <c r="N53" i="85" s="1"/>
  <c r="J97" i="85"/>
  <c r="J16" i="83"/>
  <c r="J26" i="83"/>
  <c r="J30" i="83"/>
  <c r="J46" i="83"/>
  <c r="J62" i="83"/>
  <c r="J72" i="83"/>
  <c r="J84" i="83"/>
  <c r="J87" i="83"/>
  <c r="H21" i="84"/>
  <c r="F24" i="84"/>
  <c r="F25" i="84"/>
  <c r="F29" i="84"/>
  <c r="F33" i="84"/>
  <c r="J34" i="84"/>
  <c r="J52" i="84"/>
  <c r="F60" i="84"/>
  <c r="F61" i="84"/>
  <c r="J62" i="84"/>
  <c r="F69" i="84"/>
  <c r="J70" i="84"/>
  <c r="J29" i="85"/>
  <c r="J33" i="85"/>
  <c r="J47" i="85"/>
  <c r="J51" i="85"/>
  <c r="Z77" i="85"/>
  <c r="J35" i="83"/>
  <c r="J39" i="83"/>
  <c r="J45" i="83"/>
  <c r="J67" i="83"/>
  <c r="J71" i="83"/>
  <c r="L12" i="84"/>
  <c r="J21" i="84"/>
  <c r="J23" i="84"/>
  <c r="J25" i="84"/>
  <c r="J29" i="84"/>
  <c r="J33" i="84"/>
  <c r="F38" i="84"/>
  <c r="F42" i="84"/>
  <c r="F49" i="84"/>
  <c r="F50" i="84"/>
  <c r="J51" i="84"/>
  <c r="J61" i="84"/>
  <c r="J69" i="84"/>
  <c r="J83" i="84"/>
  <c r="J86" i="84"/>
  <c r="J101" i="85"/>
  <c r="J89" i="85"/>
  <c r="J83" i="85"/>
  <c r="J79" i="85"/>
  <c r="J67" i="85"/>
  <c r="J55" i="85"/>
  <c r="J91" i="85"/>
  <c r="J73" i="85"/>
  <c r="J57" i="85"/>
  <c r="J92" i="85"/>
  <c r="J84" i="85"/>
  <c r="J80" i="85"/>
  <c r="J68" i="85"/>
  <c r="J58" i="85"/>
  <c r="J48" i="85"/>
  <c r="J69" i="85"/>
  <c r="J59" i="85"/>
  <c r="J49" i="85"/>
  <c r="J74" i="85"/>
  <c r="J70" i="85"/>
  <c r="J60" i="85"/>
  <c r="J93" i="85"/>
  <c r="J85" i="85"/>
  <c r="J81" i="85"/>
  <c r="J75" i="85"/>
  <c r="J94" i="85"/>
  <c r="J86" i="85"/>
  <c r="J76" i="85"/>
  <c r="J62" i="85"/>
  <c r="J52" i="85"/>
  <c r="J95" i="85"/>
  <c r="J87" i="85"/>
  <c r="J77" i="85"/>
  <c r="J71" i="85"/>
  <c r="J63" i="85"/>
  <c r="J82" i="85"/>
  <c r="J78" i="85"/>
  <c r="J64" i="85"/>
  <c r="J88" i="85"/>
  <c r="J72" i="85"/>
  <c r="J66" i="85"/>
  <c r="J38" i="85"/>
  <c r="J42" i="85"/>
  <c r="J46" i="85"/>
  <c r="J56" i="85"/>
  <c r="L64" i="85"/>
  <c r="N64" i="85" s="1"/>
  <c r="V80" i="86"/>
  <c r="V64" i="86"/>
  <c r="V48" i="86"/>
  <c r="V40" i="86"/>
  <c r="V36" i="86"/>
  <c r="V32" i="86"/>
  <c r="V79" i="86"/>
  <c r="V31" i="86"/>
  <c r="V27" i="86"/>
  <c r="V23" i="86"/>
  <c r="V74" i="86"/>
  <c r="V70" i="86"/>
  <c r="V66" i="86"/>
  <c r="V58" i="86"/>
  <c r="V50" i="86"/>
  <c r="V22" i="86"/>
  <c r="V20" i="86"/>
  <c r="V18" i="86"/>
  <c r="V83" i="86"/>
  <c r="V81" i="86"/>
  <c r="V65" i="86"/>
  <c r="V49" i="86"/>
  <c r="V41" i="86"/>
  <c r="V37" i="86"/>
  <c r="V33" i="86"/>
  <c r="T20" i="86"/>
  <c r="V86" i="86"/>
  <c r="V84" i="86"/>
  <c r="V60" i="86"/>
  <c r="V52" i="86"/>
  <c r="V28" i="86"/>
  <c r="V24" i="86"/>
  <c r="V75" i="86"/>
  <c r="V71" i="86"/>
  <c r="V67" i="86"/>
  <c r="V59" i="86"/>
  <c r="V51" i="86"/>
  <c r="V43" i="86"/>
  <c r="V54" i="86"/>
  <c r="V42" i="86"/>
  <c r="V38" i="86"/>
  <c r="V34" i="86"/>
  <c r="V77" i="86"/>
  <c r="V61" i="86"/>
  <c r="V53" i="86"/>
  <c r="V45" i="86"/>
  <c r="V29" i="86"/>
  <c r="V25" i="86"/>
  <c r="V93" i="86"/>
  <c r="V90" i="86"/>
  <c r="V88" i="86"/>
  <c r="V76" i="86"/>
  <c r="V72" i="86"/>
  <c r="V68" i="86"/>
  <c r="V56" i="86"/>
  <c r="V44" i="86"/>
  <c r="V16" i="86"/>
  <c r="Z12" i="86"/>
  <c r="V63" i="86"/>
  <c r="V55" i="86"/>
  <c r="V47" i="86"/>
  <c r="V39" i="86"/>
  <c r="V35" i="86"/>
  <c r="V73" i="86"/>
  <c r="V69" i="86"/>
  <c r="V57" i="86"/>
  <c r="V17" i="86"/>
  <c r="V26" i="86"/>
  <c r="J44" i="83"/>
  <c r="J56" i="83"/>
  <c r="N12" i="84"/>
  <c r="F19" i="84"/>
  <c r="J24" i="84"/>
  <c r="J38" i="84"/>
  <c r="J42" i="84"/>
  <c r="J50" i="84"/>
  <c r="F59" i="84"/>
  <c r="J19" i="85"/>
  <c r="J50" i="85"/>
  <c r="J53" i="85"/>
  <c r="Z75" i="85"/>
  <c r="J99" i="85"/>
  <c r="J52" i="88"/>
  <c r="J53" i="88"/>
  <c r="J42" i="88"/>
  <c r="J26" i="88"/>
  <c r="J54" i="88"/>
  <c r="J56" i="88"/>
  <c r="J36" i="88"/>
  <c r="J43" i="88"/>
  <c r="J45" i="88"/>
  <c r="J37" i="88"/>
  <c r="J33" i="88"/>
  <c r="J29" i="88"/>
  <c r="J63" i="88"/>
  <c r="J60" i="88"/>
  <c r="J46" i="88"/>
  <c r="J24" i="88"/>
  <c r="J47" i="88"/>
  <c r="J49" i="88"/>
  <c r="J39" i="88"/>
  <c r="J25" i="88"/>
  <c r="J51" i="88"/>
  <c r="J48" i="88"/>
  <c r="J40" i="88"/>
  <c r="J20" i="88"/>
  <c r="J18" i="88"/>
  <c r="J16" i="88"/>
  <c r="J14" i="88"/>
  <c r="J31" i="88"/>
  <c r="H16" i="88"/>
  <c r="J58" i="88"/>
  <c r="J38" i="88"/>
  <c r="J21" i="88"/>
  <c r="J41" i="88"/>
  <c r="J44" i="88"/>
  <c r="J34" i="88"/>
  <c r="J32" i="88"/>
  <c r="J27" i="88"/>
  <c r="J22" i="88"/>
  <c r="J30" i="88"/>
  <c r="N12" i="88"/>
  <c r="J28" i="88"/>
  <c r="L12" i="88"/>
  <c r="J19" i="88"/>
  <c r="P12" i="86"/>
  <c r="J25" i="86"/>
  <c r="J29" i="86"/>
  <c r="J43" i="86"/>
  <c r="J53" i="86"/>
  <c r="J61" i="86"/>
  <c r="F52" i="88"/>
  <c r="F35" i="88"/>
  <c r="F31" i="88"/>
  <c r="F53" i="88"/>
  <c r="F51" i="88"/>
  <c r="F42" i="88"/>
  <c r="F41" i="88"/>
  <c r="F54" i="88"/>
  <c r="F36" i="88"/>
  <c r="F32" i="88"/>
  <c r="F58" i="88"/>
  <c r="F45" i="88"/>
  <c r="F44" i="88"/>
  <c r="F37" i="88"/>
  <c r="F33" i="88"/>
  <c r="F29" i="88"/>
  <c r="F28" i="88"/>
  <c r="F38" i="88"/>
  <c r="F34" i="88"/>
  <c r="F30" i="88"/>
  <c r="L14" i="88"/>
  <c r="V21" i="88"/>
  <c r="F23" i="88"/>
  <c r="V24" i="88"/>
  <c r="V43" i="88"/>
  <c r="Z21" i="89"/>
  <c r="X21" i="89"/>
  <c r="J51" i="86"/>
  <c r="J59" i="86"/>
  <c r="J67" i="86"/>
  <c r="J71" i="86"/>
  <c r="J75" i="86"/>
  <c r="J83" i="86"/>
  <c r="J84" i="86"/>
  <c r="P16" i="88"/>
  <c r="D30" i="89"/>
  <c r="J24" i="90"/>
  <c r="J14" i="90"/>
  <c r="J15" i="90"/>
  <c r="J34" i="90"/>
  <c r="J20" i="90"/>
  <c r="J35" i="90"/>
  <c r="J25" i="90"/>
  <c r="J21" i="90"/>
  <c r="J19" i="90"/>
  <c r="J17" i="90"/>
  <c r="J36" i="90"/>
  <c r="J26" i="90"/>
  <c r="H17" i="90"/>
  <c r="L17" i="90" s="1"/>
  <c r="J27" i="90"/>
  <c r="J40" i="90"/>
  <c r="J38" i="90"/>
  <c r="J28" i="90"/>
  <c r="J22" i="90"/>
  <c r="J29" i="90"/>
  <c r="J42" i="90"/>
  <c r="J30" i="90"/>
  <c r="N12" i="90"/>
  <c r="J31" i="90"/>
  <c r="J23" i="90"/>
  <c r="J33" i="90"/>
  <c r="Z19" i="90"/>
  <c r="D23" i="92"/>
  <c r="J24" i="86"/>
  <c r="J28" i="86"/>
  <c r="J50" i="86"/>
  <c r="J66" i="86"/>
  <c r="J47" i="90"/>
  <c r="F93" i="92"/>
  <c r="F67" i="92"/>
  <c r="F66" i="92"/>
  <c r="F55" i="92"/>
  <c r="F54" i="92"/>
  <c r="F82" i="92"/>
  <c r="F78" i="92"/>
  <c r="F46" i="92"/>
  <c r="F42" i="92"/>
  <c r="F73" i="92"/>
  <c r="F57" i="92"/>
  <c r="F56" i="92"/>
  <c r="F33" i="92"/>
  <c r="F98" i="92"/>
  <c r="F95" i="92"/>
  <c r="F68" i="92"/>
  <c r="F83" i="92"/>
  <c r="F79" i="92"/>
  <c r="F59" i="92"/>
  <c r="F58" i="92"/>
  <c r="F47" i="92"/>
  <c r="F43" i="92"/>
  <c r="F39" i="92"/>
  <c r="F74" i="92"/>
  <c r="F85" i="92"/>
  <c r="F84" i="92"/>
  <c r="F69" i="92"/>
  <c r="F61" i="92"/>
  <c r="F60" i="92"/>
  <c r="F49" i="92"/>
  <c r="F48" i="92"/>
  <c r="F21" i="92"/>
  <c r="F80" i="92"/>
  <c r="F76" i="92"/>
  <c r="F75" i="92"/>
  <c r="F44" i="92"/>
  <c r="F40" i="92"/>
  <c r="F87" i="92"/>
  <c r="F86" i="92"/>
  <c r="F71" i="92"/>
  <c r="F70" i="92"/>
  <c r="F63" i="92"/>
  <c r="F62" i="92"/>
  <c r="F51" i="92"/>
  <c r="F50" i="92"/>
  <c r="F35" i="92"/>
  <c r="F31" i="92"/>
  <c r="F27" i="92"/>
  <c r="F26" i="92"/>
  <c r="F91" i="92"/>
  <c r="F89" i="92"/>
  <c r="F72" i="92"/>
  <c r="F34" i="92"/>
  <c r="F53" i="92"/>
  <c r="F41" i="92"/>
  <c r="F64" i="92"/>
  <c r="F45" i="92"/>
  <c r="F29" i="92"/>
  <c r="F20" i="92"/>
  <c r="F32" i="92"/>
  <c r="F77" i="92"/>
  <c r="F37" i="92"/>
  <c r="F52" i="92"/>
  <c r="F30" i="92"/>
  <c r="F38" i="92"/>
  <c r="L12" i="92"/>
  <c r="N12" i="92" s="1"/>
  <c r="F28" i="92"/>
  <c r="F65" i="92"/>
  <c r="F23" i="92"/>
  <c r="F18" i="92"/>
  <c r="F36" i="92"/>
  <c r="F25" i="92"/>
  <c r="J23" i="86"/>
  <c r="J33" i="86"/>
  <c r="J37" i="86"/>
  <c r="J41" i="86"/>
  <c r="J49" i="86"/>
  <c r="X56" i="86"/>
  <c r="J65" i="86"/>
  <c r="L66" i="86"/>
  <c r="J81" i="86"/>
  <c r="X16" i="87"/>
  <c r="X20" i="87"/>
  <c r="R56" i="88"/>
  <c r="R44" i="88"/>
  <c r="R43" i="88"/>
  <c r="R28" i="88"/>
  <c r="R27" i="88"/>
  <c r="R58" i="88"/>
  <c r="R63" i="88"/>
  <c r="R60" i="88"/>
  <c r="R46" i="88"/>
  <c r="R45" i="88"/>
  <c r="R37" i="88"/>
  <c r="R33" i="88"/>
  <c r="R39" i="88"/>
  <c r="R38" i="88"/>
  <c r="R34" i="88"/>
  <c r="R30" i="88"/>
  <c r="R49" i="88"/>
  <c r="R25" i="88"/>
  <c r="R52" i="88"/>
  <c r="R51" i="88"/>
  <c r="R41" i="88"/>
  <c r="R40" i="88"/>
  <c r="R54" i="88"/>
  <c r="R42" i="88"/>
  <c r="R26" i="88"/>
  <c r="R19" i="88"/>
  <c r="F22" i="88"/>
  <c r="R23" i="88"/>
  <c r="F27" i="88"/>
  <c r="R35" i="88"/>
  <c r="F39" i="88"/>
  <c r="F49" i="88"/>
  <c r="F63" i="88"/>
  <c r="J58" i="86"/>
  <c r="J70" i="86"/>
  <c r="J74" i="86"/>
  <c r="J80" i="86"/>
  <c r="J26" i="87"/>
  <c r="J28" i="87"/>
  <c r="V63" i="88"/>
  <c r="V60" i="88"/>
  <c r="V58" i="88"/>
  <c r="V46" i="88"/>
  <c r="V45" i="88"/>
  <c r="V37" i="88"/>
  <c r="V33" i="88"/>
  <c r="V29" i="88"/>
  <c r="V48" i="88"/>
  <c r="V47" i="88"/>
  <c r="V39" i="88"/>
  <c r="V51" i="88"/>
  <c r="V49" i="88"/>
  <c r="V41" i="88"/>
  <c r="V52" i="88"/>
  <c r="V40" i="88"/>
  <c r="V53" i="88"/>
  <c r="V35" i="88"/>
  <c r="V31" i="88"/>
  <c r="V14" i="88"/>
  <c r="V16" i="88"/>
  <c r="V18" i="88"/>
  <c r="V23" i="88"/>
  <c r="V42" i="88"/>
  <c r="R47" i="88"/>
  <c r="N19" i="91"/>
  <c r="R20" i="92"/>
  <c r="L13" i="86"/>
  <c r="J27" i="86"/>
  <c r="J31" i="86"/>
  <c r="J79" i="86"/>
  <c r="L13" i="87"/>
  <c r="X12" i="88"/>
  <c r="V19" i="88"/>
  <c r="V25" i="88"/>
  <c r="V30" i="88"/>
  <c r="L39" i="88"/>
  <c r="V54" i="88"/>
  <c r="Z25" i="92"/>
  <c r="F81" i="92"/>
  <c r="J36" i="86"/>
  <c r="J40" i="86"/>
  <c r="J48" i="86"/>
  <c r="J64" i="86"/>
  <c r="J24" i="87"/>
  <c r="Z12" i="88"/>
  <c r="V28" i="88"/>
  <c r="J32" i="90"/>
  <c r="L69" i="85"/>
  <c r="N69" i="85" s="1"/>
  <c r="X97" i="85"/>
  <c r="J47" i="86"/>
  <c r="J57" i="86"/>
  <c r="J63" i="86"/>
  <c r="J69" i="86"/>
  <c r="J73" i="86"/>
  <c r="H18" i="87"/>
  <c r="J23" i="87"/>
  <c r="R22" i="88"/>
  <c r="F24" i="88"/>
  <c r="V27" i="88"/>
  <c r="R32" i="88"/>
  <c r="X39" i="88"/>
  <c r="Z39" i="88" s="1"/>
  <c r="V56" i="88"/>
  <c r="L19" i="89"/>
  <c r="N19" i="89" s="1"/>
  <c r="P44" i="90"/>
  <c r="J52" i="91"/>
  <c r="J28" i="91"/>
  <c r="J24" i="91"/>
  <c r="J20" i="91"/>
  <c r="J18" i="91"/>
  <c r="J16" i="91"/>
  <c r="J14" i="91"/>
  <c r="J53" i="91"/>
  <c r="J29" i="91"/>
  <c r="H16" i="91"/>
  <c r="J54" i="91"/>
  <c r="J46" i="91"/>
  <c r="J38" i="91"/>
  <c r="J34" i="91"/>
  <c r="J30" i="91"/>
  <c r="J25" i="91"/>
  <c r="J21" i="91"/>
  <c r="J58" i="91"/>
  <c r="J56" i="91"/>
  <c r="J47" i="91"/>
  <c r="J39" i="91"/>
  <c r="J35" i="91"/>
  <c r="J31" i="91"/>
  <c r="J60" i="91"/>
  <c r="J48" i="91"/>
  <c r="J40" i="91"/>
  <c r="J26" i="91"/>
  <c r="J22" i="91"/>
  <c r="J49" i="91"/>
  <c r="J41" i="91"/>
  <c r="J65" i="91"/>
  <c r="J62" i="91"/>
  <c r="J42" i="91"/>
  <c r="J36" i="91"/>
  <c r="J32" i="91"/>
  <c r="N12" i="91"/>
  <c r="J43" i="91"/>
  <c r="J27" i="91"/>
  <c r="J23" i="91"/>
  <c r="J51" i="91"/>
  <c r="J45" i="91"/>
  <c r="J37" i="91"/>
  <c r="J33" i="91"/>
  <c r="J19" i="91"/>
  <c r="R20" i="93"/>
  <c r="P16" i="93"/>
  <c r="R24" i="93"/>
  <c r="R22" i="93"/>
  <c r="R26" i="93"/>
  <c r="R31" i="93"/>
  <c r="R28" i="93"/>
  <c r="X12" i="93"/>
  <c r="R18" i="93"/>
  <c r="R16" i="93"/>
  <c r="R14" i="93"/>
  <c r="R19" i="93"/>
  <c r="J16" i="86"/>
  <c r="J26" i="86"/>
  <c r="J30" i="86"/>
  <c r="J46" i="86"/>
  <c r="J56" i="86"/>
  <c r="J62" i="86"/>
  <c r="J78" i="86"/>
  <c r="J90" i="86"/>
  <c r="J93" i="86"/>
  <c r="J16" i="87"/>
  <c r="J18" i="87"/>
  <c r="J20" i="87"/>
  <c r="J22" i="87"/>
  <c r="V22" i="88"/>
  <c r="V32" i="88"/>
  <c r="V34" i="88"/>
  <c r="T40" i="90"/>
  <c r="Z17" i="90"/>
  <c r="F19" i="88"/>
  <c r="F20" i="88"/>
  <c r="F26" i="88"/>
  <c r="R36" i="88"/>
  <c r="F40" i="88"/>
  <c r="J44" i="91"/>
  <c r="N51" i="91"/>
  <c r="J44" i="86"/>
  <c r="J54" i="86"/>
  <c r="J68" i="86"/>
  <c r="J72" i="86"/>
  <c r="J76" i="86"/>
  <c r="V36" i="88"/>
  <c r="V38" i="88"/>
  <c r="V44" i="88"/>
  <c r="R84" i="92"/>
  <c r="R83" i="92"/>
  <c r="R79" i="92"/>
  <c r="R60" i="92"/>
  <c r="R59" i="92"/>
  <c r="R48" i="92"/>
  <c r="R47" i="92"/>
  <c r="R43" i="92"/>
  <c r="R39" i="92"/>
  <c r="R75" i="92"/>
  <c r="R74" i="92"/>
  <c r="R86" i="92"/>
  <c r="R85" i="92"/>
  <c r="R70" i="92"/>
  <c r="R69" i="92"/>
  <c r="R62" i="92"/>
  <c r="R61" i="92"/>
  <c r="R50" i="92"/>
  <c r="R49" i="92"/>
  <c r="R80" i="92"/>
  <c r="R76" i="92"/>
  <c r="R44" i="92"/>
  <c r="R40" i="92"/>
  <c r="R87" i="92"/>
  <c r="R71" i="92"/>
  <c r="R64" i="92"/>
  <c r="R63" i="92"/>
  <c r="R52" i="92"/>
  <c r="R51" i="92"/>
  <c r="R35" i="92"/>
  <c r="R89" i="92"/>
  <c r="R81" i="92"/>
  <c r="R77" i="92"/>
  <c r="R66" i="92"/>
  <c r="R65" i="92"/>
  <c r="R54" i="92"/>
  <c r="R53" i="92"/>
  <c r="R45" i="92"/>
  <c r="R41" i="92"/>
  <c r="R18" i="92"/>
  <c r="R72" i="92"/>
  <c r="R37" i="92"/>
  <c r="R36" i="92"/>
  <c r="R32" i="92"/>
  <c r="R28" i="92"/>
  <c r="R93" i="92"/>
  <c r="R67" i="92"/>
  <c r="R56" i="92"/>
  <c r="R55" i="92"/>
  <c r="R68" i="92"/>
  <c r="R27" i="92"/>
  <c r="R73" i="92"/>
  <c r="R58" i="92"/>
  <c r="R30" i="92"/>
  <c r="R21" i="92"/>
  <c r="R82" i="92"/>
  <c r="X12" i="92"/>
  <c r="R38" i="92"/>
  <c r="R42" i="92"/>
  <c r="R33" i="92"/>
  <c r="R23" i="92"/>
  <c r="R46" i="92"/>
  <c r="P23" i="92"/>
  <c r="R19" i="92"/>
  <c r="R31" i="92"/>
  <c r="R25" i="92"/>
  <c r="R57" i="92"/>
  <c r="R34" i="92"/>
  <c r="R26" i="92"/>
  <c r="H16" i="89"/>
  <c r="L16" i="89" s="1"/>
  <c r="F19" i="89"/>
  <c r="F20" i="89"/>
  <c r="J21" i="89"/>
  <c r="R24" i="89"/>
  <c r="R25" i="89"/>
  <c r="R17" i="90"/>
  <c r="R19" i="90"/>
  <c r="V21" i="90"/>
  <c r="V25" i="90"/>
  <c r="R34" i="90"/>
  <c r="R35" i="90"/>
  <c r="V21" i="91"/>
  <c r="V25" i="91"/>
  <c r="R30" i="91"/>
  <c r="R34" i="91"/>
  <c r="R38" i="91"/>
  <c r="R46" i="91"/>
  <c r="F50" i="91"/>
  <c r="R54" i="91"/>
  <c r="L13" i="92"/>
  <c r="J34" i="92"/>
  <c r="V43" i="92"/>
  <c r="V45" i="92"/>
  <c r="Z66" i="92"/>
  <c r="N52" i="94"/>
  <c r="Z96" i="94"/>
  <c r="V96" i="94"/>
  <c r="L14" i="89"/>
  <c r="J19" i="89"/>
  <c r="R22" i="89"/>
  <c r="R23" i="89"/>
  <c r="V25" i="89"/>
  <c r="F32" i="89"/>
  <c r="L12" i="90"/>
  <c r="V15" i="90"/>
  <c r="V17" i="90"/>
  <c r="V19" i="90"/>
  <c r="R24" i="90"/>
  <c r="V35" i="90"/>
  <c r="D40" i="90"/>
  <c r="F42" i="90"/>
  <c r="L12" i="91"/>
  <c r="P16" i="91"/>
  <c r="R20" i="91"/>
  <c r="R24" i="91"/>
  <c r="R28" i="91"/>
  <c r="R29" i="91"/>
  <c r="F32" i="91"/>
  <c r="F36" i="91"/>
  <c r="R52" i="91"/>
  <c r="R53" i="91"/>
  <c r="J19" i="92"/>
  <c r="V20" i="92"/>
  <c r="V29" i="92"/>
  <c r="J61" i="92"/>
  <c r="V31" i="93"/>
  <c r="V28" i="93"/>
  <c r="V26" i="93"/>
  <c r="Z12" i="93"/>
  <c r="V19" i="93"/>
  <c r="V24" i="93"/>
  <c r="V22" i="93"/>
  <c r="V20" i="93"/>
  <c r="J41" i="94"/>
  <c r="V22" i="89"/>
  <c r="F28" i="89"/>
  <c r="F30" i="89"/>
  <c r="J32" i="89"/>
  <c r="R14" i="90"/>
  <c r="X17" i="90"/>
  <c r="V20" i="90"/>
  <c r="V24" i="90"/>
  <c r="F28" i="90"/>
  <c r="F29" i="90"/>
  <c r="R33" i="90"/>
  <c r="F38" i="90"/>
  <c r="F40" i="90"/>
  <c r="R14" i="91"/>
  <c r="R16" i="91"/>
  <c r="R18" i="91"/>
  <c r="V20" i="91"/>
  <c r="V24" i="91"/>
  <c r="V28" i="91"/>
  <c r="R33" i="91"/>
  <c r="R37" i="91"/>
  <c r="F40" i="91"/>
  <c r="F41" i="91"/>
  <c r="R45" i="91"/>
  <c r="F48" i="91"/>
  <c r="F49" i="91"/>
  <c r="V52" i="91"/>
  <c r="J82" i="92"/>
  <c r="J78" i="92"/>
  <c r="J56" i="92"/>
  <c r="J46" i="92"/>
  <c r="J42" i="92"/>
  <c r="J38" i="92"/>
  <c r="J73" i="92"/>
  <c r="J57" i="92"/>
  <c r="J68" i="92"/>
  <c r="J58" i="92"/>
  <c r="J83" i="92"/>
  <c r="J79" i="92"/>
  <c r="J59" i="92"/>
  <c r="J47" i="92"/>
  <c r="J43" i="92"/>
  <c r="J39" i="92"/>
  <c r="J84" i="92"/>
  <c r="J74" i="92"/>
  <c r="J60" i="92"/>
  <c r="J48" i="92"/>
  <c r="J85" i="92"/>
  <c r="J75" i="92"/>
  <c r="J69" i="92"/>
  <c r="J86" i="92"/>
  <c r="J80" i="92"/>
  <c r="J76" i="92"/>
  <c r="J70" i="92"/>
  <c r="J62" i="92"/>
  <c r="J50" i="92"/>
  <c r="J44" i="92"/>
  <c r="J40" i="92"/>
  <c r="J26" i="92"/>
  <c r="J87" i="92"/>
  <c r="J71" i="92"/>
  <c r="J63" i="92"/>
  <c r="J51" i="92"/>
  <c r="J35" i="92"/>
  <c r="J31" i="92"/>
  <c r="J27" i="92"/>
  <c r="J25" i="92"/>
  <c r="J23" i="92"/>
  <c r="J64" i="92"/>
  <c r="J52" i="92"/>
  <c r="J93" i="92"/>
  <c r="J67" i="92"/>
  <c r="H23" i="92"/>
  <c r="J33" i="92"/>
  <c r="V59" i="92"/>
  <c r="J65" i="92"/>
  <c r="Z25" i="94"/>
  <c r="F63" i="94"/>
  <c r="Z91" i="94"/>
  <c r="V91" i="94"/>
  <c r="P16" i="89"/>
  <c r="R20" i="89"/>
  <c r="R21" i="89"/>
  <c r="V23" i="89"/>
  <c r="F22" i="90"/>
  <c r="V33" i="90"/>
  <c r="T16" i="91"/>
  <c r="R19" i="91"/>
  <c r="F22" i="91"/>
  <c r="F26" i="91"/>
  <c r="V29" i="91"/>
  <c r="V33" i="91"/>
  <c r="V37" i="91"/>
  <c r="V45" i="91"/>
  <c r="R50" i="91"/>
  <c r="R51" i="91"/>
  <c r="V53" i="91"/>
  <c r="F60" i="91"/>
  <c r="J18" i="92"/>
  <c r="J28" i="92"/>
  <c r="L48" i="92"/>
  <c r="N48" i="92" s="1"/>
  <c r="L52" i="92"/>
  <c r="V57" i="92"/>
  <c r="J72" i="92"/>
  <c r="L89" i="92"/>
  <c r="R72" i="94"/>
  <c r="R100" i="94"/>
  <c r="R89" i="94"/>
  <c r="R73" i="94"/>
  <c r="R58" i="94"/>
  <c r="R57" i="94"/>
  <c r="R85" i="94"/>
  <c r="R81" i="94"/>
  <c r="R93" i="94"/>
  <c r="R92" i="94"/>
  <c r="R96" i="94"/>
  <c r="R78" i="94"/>
  <c r="R77" i="94"/>
  <c r="R66" i="94"/>
  <c r="R65" i="94"/>
  <c r="R54" i="94"/>
  <c r="R53" i="94"/>
  <c r="R45" i="94"/>
  <c r="R41" i="94"/>
  <c r="R83" i="94"/>
  <c r="R75" i="94"/>
  <c r="R49" i="94"/>
  <c r="R42" i="94"/>
  <c r="R25" i="94"/>
  <c r="R23" i="94"/>
  <c r="R61" i="94"/>
  <c r="R50" i="94"/>
  <c r="R35" i="94"/>
  <c r="R31" i="94"/>
  <c r="R27" i="94"/>
  <c r="P23" i="94"/>
  <c r="R62" i="94"/>
  <c r="R79" i="94"/>
  <c r="R70" i="94"/>
  <c r="R40" i="94"/>
  <c r="R18" i="94"/>
  <c r="R76" i="94"/>
  <c r="R68" i="94"/>
  <c r="R55" i="94"/>
  <c r="R51" i="94"/>
  <c r="R46" i="94"/>
  <c r="R43" i="94"/>
  <c r="R32" i="94"/>
  <c r="R28" i="94"/>
  <c r="X12" i="94"/>
  <c r="R94" i="94"/>
  <c r="R86" i="94"/>
  <c r="R71" i="94"/>
  <c r="R59" i="94"/>
  <c r="R36" i="94"/>
  <c r="R19" i="94"/>
  <c r="R84" i="94"/>
  <c r="R63" i="94"/>
  <c r="R56" i="94"/>
  <c r="R52" i="94"/>
  <c r="R37" i="94"/>
  <c r="R74" i="94"/>
  <c r="R60" i="94"/>
  <c r="R47" i="94"/>
  <c r="R33" i="94"/>
  <c r="R29" i="94"/>
  <c r="R87" i="94"/>
  <c r="R48" i="94"/>
  <c r="R44" i="94"/>
  <c r="R38" i="94"/>
  <c r="R20" i="94"/>
  <c r="R90" i="94"/>
  <c r="R91" i="94"/>
  <c r="R88" i="94"/>
  <c r="R67" i="94"/>
  <c r="R39" i="94"/>
  <c r="R26" i="94"/>
  <c r="R21" i="94"/>
  <c r="V14" i="90"/>
  <c r="V14" i="91"/>
  <c r="V16" i="91"/>
  <c r="V18" i="91"/>
  <c r="V50" i="91"/>
  <c r="X18" i="93"/>
  <c r="R30" i="94"/>
  <c r="T16" i="89"/>
  <c r="R19" i="89"/>
  <c r="V21" i="89"/>
  <c r="F25" i="89"/>
  <c r="F26" i="89"/>
  <c r="R32" i="89"/>
  <c r="X12" i="90"/>
  <c r="V23" i="90"/>
  <c r="V31" i="90"/>
  <c r="F35" i="90"/>
  <c r="F36" i="90"/>
  <c r="R42" i="90"/>
  <c r="X12" i="91"/>
  <c r="V19" i="91"/>
  <c r="V23" i="91"/>
  <c r="V27" i="91"/>
  <c r="R32" i="91"/>
  <c r="R36" i="91"/>
  <c r="V43" i="91"/>
  <c r="V51" i="91"/>
  <c r="J21" i="92"/>
  <c r="J30" i="92"/>
  <c r="N52" i="92"/>
  <c r="J54" i="92"/>
  <c r="J89" i="92"/>
  <c r="F19" i="94"/>
  <c r="N37" i="94"/>
  <c r="J47" i="94"/>
  <c r="V14" i="89"/>
  <c r="V16" i="89"/>
  <c r="V18" i="89"/>
  <c r="V32" i="89"/>
  <c r="V34" i="89"/>
  <c r="V37" i="89"/>
  <c r="Z12" i="90"/>
  <c r="F21" i="90"/>
  <c r="F25" i="90"/>
  <c r="R29" i="90"/>
  <c r="R30" i="90"/>
  <c r="V32" i="90"/>
  <c r="V42" i="90"/>
  <c r="V44" i="90"/>
  <c r="V47" i="90"/>
  <c r="Z12" i="91"/>
  <c r="X19" i="91"/>
  <c r="Z19" i="91" s="1"/>
  <c r="V32" i="91"/>
  <c r="V36" i="91"/>
  <c r="R41" i="91"/>
  <c r="R42" i="91"/>
  <c r="V44" i="91"/>
  <c r="R49" i="91"/>
  <c r="X51" i="91"/>
  <c r="Z51" i="91" s="1"/>
  <c r="R62" i="91"/>
  <c r="R65" i="91"/>
  <c r="V86" i="92"/>
  <c r="V74" i="92"/>
  <c r="V70" i="92"/>
  <c r="V62" i="92"/>
  <c r="V50" i="92"/>
  <c r="V34" i="92"/>
  <c r="V85" i="92"/>
  <c r="V69" i="92"/>
  <c r="V61" i="92"/>
  <c r="V49" i="92"/>
  <c r="V80" i="92"/>
  <c r="V76" i="92"/>
  <c r="V64" i="92"/>
  <c r="V52" i="92"/>
  <c r="V44" i="92"/>
  <c r="V40" i="92"/>
  <c r="V89" i="92"/>
  <c r="V87" i="92"/>
  <c r="V71" i="92"/>
  <c r="V63" i="92"/>
  <c r="V51" i="92"/>
  <c r="V35" i="92"/>
  <c r="V31" i="92"/>
  <c r="V27" i="92"/>
  <c r="V66" i="92"/>
  <c r="V54" i="92"/>
  <c r="V81" i="92"/>
  <c r="V77" i="92"/>
  <c r="V65" i="92"/>
  <c r="V72" i="92"/>
  <c r="V56" i="92"/>
  <c r="V36" i="92"/>
  <c r="V32" i="92"/>
  <c r="V28" i="92"/>
  <c r="V93" i="92"/>
  <c r="V67" i="92"/>
  <c r="V55" i="92"/>
  <c r="V19" i="92"/>
  <c r="V82" i="92"/>
  <c r="V78" i="92"/>
  <c r="V58" i="92"/>
  <c r="V46" i="92"/>
  <c r="V42" i="92"/>
  <c r="V38" i="92"/>
  <c r="V83" i="92"/>
  <c r="V79" i="92"/>
  <c r="V75" i="92"/>
  <c r="T23" i="92"/>
  <c r="X25" i="92"/>
  <c r="V33" i="92"/>
  <c r="V48" i="92"/>
  <c r="J77" i="92"/>
  <c r="J33" i="94"/>
  <c r="J37" i="94"/>
  <c r="R82" i="94"/>
  <c r="Z62" i="95"/>
  <c r="V62" i="95"/>
  <c r="X12" i="89"/>
  <c r="V19" i="89"/>
  <c r="F23" i="89"/>
  <c r="J25" i="89"/>
  <c r="R22" i="90"/>
  <c r="V29" i="90"/>
  <c r="F34" i="90"/>
  <c r="D16" i="91"/>
  <c r="R22" i="91"/>
  <c r="R26" i="91"/>
  <c r="F29" i="91"/>
  <c r="F30" i="91"/>
  <c r="F34" i="91"/>
  <c r="F38" i="91"/>
  <c r="V41" i="91"/>
  <c r="F46" i="91"/>
  <c r="V49" i="91"/>
  <c r="F53" i="91"/>
  <c r="F54" i="91"/>
  <c r="R60" i="91"/>
  <c r="V23" i="92"/>
  <c r="J37" i="92"/>
  <c r="X48" i="92"/>
  <c r="Z48" i="92" s="1"/>
  <c r="N60" i="92"/>
  <c r="L64" i="92"/>
  <c r="N66" i="92"/>
  <c r="Z84" i="92"/>
  <c r="R28" i="89"/>
  <c r="F14" i="90"/>
  <c r="V22" i="90"/>
  <c r="R27" i="90"/>
  <c r="R28" i="90"/>
  <c r="V30" i="90"/>
  <c r="R38" i="90"/>
  <c r="F14" i="91"/>
  <c r="F16" i="91"/>
  <c r="F18" i="91"/>
  <c r="V22" i="91"/>
  <c r="V26" i="91"/>
  <c r="R31" i="91"/>
  <c r="R35" i="91"/>
  <c r="R39" i="91"/>
  <c r="R40" i="91"/>
  <c r="V42" i="91"/>
  <c r="R47" i="91"/>
  <c r="R48" i="91"/>
  <c r="V60" i="91"/>
  <c r="V62" i="91"/>
  <c r="V65" i="91"/>
  <c r="Z12" i="92"/>
  <c r="V18" i="92"/>
  <c r="J32" i="92"/>
  <c r="Z54" i="92"/>
  <c r="X54" i="92"/>
  <c r="X58" i="92"/>
  <c r="J66" i="92"/>
  <c r="V68" i="92"/>
  <c r="V84" i="92"/>
  <c r="X26" i="94"/>
  <c r="Z26" i="94" s="1"/>
  <c r="V27" i="90"/>
  <c r="V31" i="91"/>
  <c r="V35" i="91"/>
  <c r="V39" i="91"/>
  <c r="V47" i="91"/>
  <c r="F51" i="91"/>
  <c r="J45" i="92"/>
  <c r="J49" i="92"/>
  <c r="Z60" i="92"/>
  <c r="N64" i="92"/>
  <c r="D24" i="93"/>
  <c r="F92" i="94"/>
  <c r="F91" i="94"/>
  <c r="F94" i="94"/>
  <c r="F93" i="94"/>
  <c r="F86" i="94"/>
  <c r="F82" i="94"/>
  <c r="F70" i="94"/>
  <c r="F77" i="94"/>
  <c r="F76" i="94"/>
  <c r="F65" i="94"/>
  <c r="F64" i="94"/>
  <c r="F53" i="94"/>
  <c r="F52" i="94"/>
  <c r="F45" i="94"/>
  <c r="F41" i="94"/>
  <c r="F96" i="94"/>
  <c r="F89" i="94"/>
  <c r="F88" i="94"/>
  <c r="F84" i="94"/>
  <c r="F80" i="94"/>
  <c r="F68" i="94"/>
  <c r="F85" i="94"/>
  <c r="F81" i="94"/>
  <c r="F69" i="94"/>
  <c r="F61" i="94"/>
  <c r="F60" i="94"/>
  <c r="F49" i="94"/>
  <c r="F48" i="94"/>
  <c r="F87" i="94"/>
  <c r="F72" i="94"/>
  <c r="F38" i="94"/>
  <c r="F20" i="94"/>
  <c r="F90" i="94"/>
  <c r="F57" i="94"/>
  <c r="F34" i="94"/>
  <c r="F30" i="94"/>
  <c r="F78" i="94"/>
  <c r="F75" i="94"/>
  <c r="F67" i="94"/>
  <c r="F42" i="94"/>
  <c r="F39" i="94"/>
  <c r="F21" i="94"/>
  <c r="F83" i="94"/>
  <c r="F100" i="94"/>
  <c r="F58" i="94"/>
  <c r="F54" i="94"/>
  <c r="F35" i="94"/>
  <c r="F31" i="94"/>
  <c r="F27" i="94"/>
  <c r="F26" i="94"/>
  <c r="F73" i="94"/>
  <c r="F50" i="94"/>
  <c r="F40" i="94"/>
  <c r="F25" i="94"/>
  <c r="F79" i="94"/>
  <c r="F62" i="94"/>
  <c r="D23" i="94"/>
  <c r="F59" i="94"/>
  <c r="F55" i="94"/>
  <c r="F51" i="94"/>
  <c r="F46" i="94"/>
  <c r="F43" i="94"/>
  <c r="F36" i="94"/>
  <c r="F32" i="94"/>
  <c r="F28" i="94"/>
  <c r="L12" i="94"/>
  <c r="F74" i="94"/>
  <c r="F66" i="94"/>
  <c r="F56" i="94"/>
  <c r="F47" i="94"/>
  <c r="F44" i="94"/>
  <c r="F37" i="94"/>
  <c r="F33" i="94"/>
  <c r="F29" i="94"/>
  <c r="L56" i="94"/>
  <c r="N56" i="94" s="1"/>
  <c r="J60" i="94"/>
  <c r="R80" i="94"/>
  <c r="V28" i="90"/>
  <c r="V36" i="90"/>
  <c r="V38" i="90"/>
  <c r="V40" i="91"/>
  <c r="R56" i="91"/>
  <c r="J41" i="92"/>
  <c r="V47" i="92"/>
  <c r="J53" i="92"/>
  <c r="J55" i="92"/>
  <c r="Z58" i="92"/>
  <c r="V60" i="92"/>
  <c r="V73" i="92"/>
  <c r="T24" i="93"/>
  <c r="Z16" i="93"/>
  <c r="J93" i="94"/>
  <c r="J75" i="94"/>
  <c r="J63" i="94"/>
  <c r="J94" i="94"/>
  <c r="J77" i="94"/>
  <c r="J71" i="94"/>
  <c r="J65" i="94"/>
  <c r="J96" i="94"/>
  <c r="J78" i="94"/>
  <c r="J72" i="94"/>
  <c r="J66" i="94"/>
  <c r="J54" i="94"/>
  <c r="J36" i="94"/>
  <c r="J100" i="94"/>
  <c r="J84" i="94"/>
  <c r="J80" i="94"/>
  <c r="J59" i="94"/>
  <c r="J92" i="94"/>
  <c r="J62" i="94"/>
  <c r="J50" i="94"/>
  <c r="J44" i="94"/>
  <c r="J40" i="94"/>
  <c r="J90" i="94"/>
  <c r="J69" i="94"/>
  <c r="J64" i="94"/>
  <c r="J57" i="94"/>
  <c r="J53" i="94"/>
  <c r="J48" i="94"/>
  <c r="J34" i="94"/>
  <c r="J30" i="94"/>
  <c r="J91" i="94"/>
  <c r="J88" i="94"/>
  <c r="J85" i="94"/>
  <c r="J67" i="94"/>
  <c r="J42" i="94"/>
  <c r="J39" i="94"/>
  <c r="J21" i="94"/>
  <c r="J83" i="94"/>
  <c r="J61" i="94"/>
  <c r="J58" i="94"/>
  <c r="J49" i="94"/>
  <c r="J45" i="94"/>
  <c r="J26" i="94"/>
  <c r="J35" i="94"/>
  <c r="J31" i="94"/>
  <c r="J27" i="94"/>
  <c r="J25" i="94"/>
  <c r="J81" i="94"/>
  <c r="J73" i="94"/>
  <c r="J70" i="94"/>
  <c r="H23" i="94"/>
  <c r="J89" i="94"/>
  <c r="J79" i="94"/>
  <c r="J76" i="94"/>
  <c r="J86" i="94"/>
  <c r="J68" i="94"/>
  <c r="J55" i="94"/>
  <c r="J51" i="94"/>
  <c r="J46" i="94"/>
  <c r="J43" i="94"/>
  <c r="J32" i="94"/>
  <c r="J28" i="94"/>
  <c r="J18" i="94"/>
  <c r="N12" i="94"/>
  <c r="J19" i="94"/>
  <c r="J87" i="94"/>
  <c r="J82" i="94"/>
  <c r="J38" i="94"/>
  <c r="J20" i="94"/>
  <c r="J29" i="94"/>
  <c r="J56" i="94"/>
  <c r="R64" i="94"/>
  <c r="R69" i="94"/>
  <c r="T23" i="94"/>
  <c r="V42" i="94"/>
  <c r="V49" i="94"/>
  <c r="V50" i="94"/>
  <c r="V54" i="94"/>
  <c r="V85" i="94"/>
  <c r="X96" i="94"/>
  <c r="X62" i="95"/>
  <c r="T90" i="95"/>
  <c r="Z33" i="95"/>
  <c r="X33" i="95"/>
  <c r="V33" i="95"/>
  <c r="Z66" i="95"/>
  <c r="V64" i="94"/>
  <c r="V77" i="94"/>
  <c r="V82" i="94"/>
  <c r="V90" i="94"/>
  <c r="Z21" i="95"/>
  <c r="F22" i="93"/>
  <c r="F24" i="93"/>
  <c r="J26" i="93"/>
  <c r="V20" i="94"/>
  <c r="V38" i="94"/>
  <c r="V41" i="94"/>
  <c r="V44" i="94"/>
  <c r="L16" i="96"/>
  <c r="D24" i="96"/>
  <c r="V29" i="94"/>
  <c r="V33" i="94"/>
  <c r="V47" i="94"/>
  <c r="V66" i="94"/>
  <c r="V74" i="94"/>
  <c r="V90" i="95"/>
  <c r="L22" i="95"/>
  <c r="N22" i="95" s="1"/>
  <c r="L46" i="95"/>
  <c r="H17" i="97"/>
  <c r="N15" i="97"/>
  <c r="L15" i="97"/>
  <c r="V87" i="94"/>
  <c r="V83" i="94"/>
  <c r="V79" i="94"/>
  <c r="V67" i="94"/>
  <c r="V55" i="94"/>
  <c r="V100" i="94"/>
  <c r="V89" i="94"/>
  <c r="V73" i="94"/>
  <c r="V84" i="94"/>
  <c r="V80" i="94"/>
  <c r="V68" i="94"/>
  <c r="V60" i="94"/>
  <c r="V48" i="94"/>
  <c r="V92" i="94"/>
  <c r="V75" i="94"/>
  <c r="V71" i="94"/>
  <c r="V63" i="94"/>
  <c r="V88" i="94"/>
  <c r="V72" i="94"/>
  <c r="V56" i="94"/>
  <c r="N46" i="95"/>
  <c r="H16" i="93"/>
  <c r="V19" i="94"/>
  <c r="V36" i="94"/>
  <c r="V37" i="94"/>
  <c r="L50" i="94"/>
  <c r="N50" i="94" s="1"/>
  <c r="V52" i="94"/>
  <c r="V59" i="94"/>
  <c r="V86" i="94"/>
  <c r="V94" i="94"/>
  <c r="J22" i="95"/>
  <c r="Z44" i="95"/>
  <c r="J46" i="95"/>
  <c r="N52" i="95"/>
  <c r="N81" i="95"/>
  <c r="Z20" i="97"/>
  <c r="J14" i="93"/>
  <c r="J16" i="93"/>
  <c r="J18" i="93"/>
  <c r="J20" i="93"/>
  <c r="Z12" i="94"/>
  <c r="V28" i="94"/>
  <c r="V32" i="94"/>
  <c r="V43" i="94"/>
  <c r="V46" i="94"/>
  <c r="V51" i="94"/>
  <c r="V65" i="94"/>
  <c r="X71" i="94"/>
  <c r="Z71" i="94" s="1"/>
  <c r="V81" i="94"/>
  <c r="N88" i="94"/>
  <c r="N50" i="95"/>
  <c r="Z18" i="96"/>
  <c r="X18" i="96"/>
  <c r="J19" i="93"/>
  <c r="V40" i="94"/>
  <c r="V70" i="94"/>
  <c r="V76" i="94"/>
  <c r="Z46" i="95"/>
  <c r="Z52" i="95"/>
  <c r="N58" i="95"/>
  <c r="V18" i="94"/>
  <c r="Z62" i="94"/>
  <c r="L66" i="95"/>
  <c r="N66" i="95" s="1"/>
  <c r="V27" i="94"/>
  <c r="V31" i="94"/>
  <c r="V35" i="94"/>
  <c r="L37" i="94"/>
  <c r="V45" i="94"/>
  <c r="Z50" i="94"/>
  <c r="L60" i="94"/>
  <c r="N60" i="94" s="1"/>
  <c r="V61" i="94"/>
  <c r="V62" i="94"/>
  <c r="L66" i="94"/>
  <c r="N66" i="94" s="1"/>
  <c r="X78" i="94"/>
  <c r="Z78" i="94" s="1"/>
  <c r="X91" i="94"/>
  <c r="N21" i="95"/>
  <c r="H24" i="96"/>
  <c r="N16" i="96"/>
  <c r="H19" i="95"/>
  <c r="V34" i="95"/>
  <c r="V38" i="95"/>
  <c r="V42" i="95"/>
  <c r="J48" i="95"/>
  <c r="V54" i="95"/>
  <c r="J60" i="95"/>
  <c r="J67" i="95"/>
  <c r="J75" i="95"/>
  <c r="V80" i="95"/>
  <c r="V81" i="95"/>
  <c r="J84" i="95"/>
  <c r="V24" i="96"/>
  <c r="V22" i="96"/>
  <c r="J28" i="96"/>
  <c r="N42" i="97"/>
  <c r="V66" i="97"/>
  <c r="D12" i="95"/>
  <c r="J17" i="95"/>
  <c r="V37" i="95"/>
  <c r="V41" i="95"/>
  <c r="J45" i="95"/>
  <c r="V49" i="95"/>
  <c r="N78" i="95"/>
  <c r="V86" i="95"/>
  <c r="L14" i="96"/>
  <c r="J70" i="97"/>
  <c r="J61" i="97"/>
  <c r="J55" i="97"/>
  <c r="J45" i="97"/>
  <c r="J29" i="97"/>
  <c r="J25" i="97"/>
  <c r="J21" i="97"/>
  <c r="J19" i="97"/>
  <c r="J17" i="97"/>
  <c r="J15" i="97"/>
  <c r="J73" i="97"/>
  <c r="J72" i="97"/>
  <c r="J62" i="97"/>
  <c r="J56" i="97"/>
  <c r="J46" i="97"/>
  <c r="J63" i="97"/>
  <c r="J57" i="97"/>
  <c r="J47" i="97"/>
  <c r="J39" i="97"/>
  <c r="J35" i="97"/>
  <c r="J59" i="97"/>
  <c r="J51" i="97"/>
  <c r="J42" i="97"/>
  <c r="J66" i="97"/>
  <c r="J67" i="97"/>
  <c r="J48" i="97"/>
  <c r="J43" i="97"/>
  <c r="J36" i="97"/>
  <c r="J52" i="97"/>
  <c r="J77" i="97"/>
  <c r="J64" i="97"/>
  <c r="J60" i="97"/>
  <c r="J44" i="97"/>
  <c r="J30" i="97"/>
  <c r="J20" i="97"/>
  <c r="J53" i="97"/>
  <c r="J49" i="97"/>
  <c r="J27" i="97"/>
  <c r="J68" i="97"/>
  <c r="J40" i="97"/>
  <c r="J37" i="97"/>
  <c r="J34" i="97"/>
  <c r="J31" i="97"/>
  <c r="J24" i="97"/>
  <c r="J65" i="97"/>
  <c r="J58" i="97"/>
  <c r="J50" i="97"/>
  <c r="J41" i="97"/>
  <c r="J38" i="97"/>
  <c r="R20" i="97"/>
  <c r="Z57" i="97"/>
  <c r="J69" i="97"/>
  <c r="J88" i="95"/>
  <c r="J80" i="95"/>
  <c r="J70" i="95"/>
  <c r="J62" i="95"/>
  <c r="J16" i="95"/>
  <c r="J26" i="95"/>
  <c r="J30" i="95"/>
  <c r="J44" i="95"/>
  <c r="J56" i="95"/>
  <c r="J65" i="95"/>
  <c r="V67" i="95"/>
  <c r="J74" i="95"/>
  <c r="V75" i="95"/>
  <c r="J78" i="95"/>
  <c r="V79" i="95"/>
  <c r="L81" i="95"/>
  <c r="J82" i="95"/>
  <c r="T24" i="96"/>
  <c r="V33" i="97"/>
  <c r="J35" i="95"/>
  <c r="J39" i="95"/>
  <c r="J43" i="95"/>
  <c r="J55" i="95"/>
  <c r="N64" i="95"/>
  <c r="J69" i="95"/>
  <c r="J77" i="95"/>
  <c r="V84" i="95"/>
  <c r="R15" i="97"/>
  <c r="X19" i="97"/>
  <c r="Z19" i="97" s="1"/>
  <c r="V48" i="95"/>
  <c r="J54" i="95"/>
  <c r="V60" i="95"/>
  <c r="J64" i="95"/>
  <c r="V71" i="95"/>
  <c r="R58" i="97"/>
  <c r="R31" i="97"/>
  <c r="R30" i="97"/>
  <c r="R26" i="97"/>
  <c r="R22" i="97"/>
  <c r="X12" i="97"/>
  <c r="Z12" i="97" s="1"/>
  <c r="R77" i="97"/>
  <c r="R65" i="97"/>
  <c r="R49" i="97"/>
  <c r="R40" i="97"/>
  <c r="R36" i="97"/>
  <c r="R32" i="97"/>
  <c r="R56" i="97"/>
  <c r="R43" i="97"/>
  <c r="R63" i="97"/>
  <c r="R52" i="97"/>
  <c r="R48" i="97"/>
  <c r="R44" i="97"/>
  <c r="R72" i="97"/>
  <c r="R60" i="97"/>
  <c r="R53" i="97"/>
  <c r="R64" i="97"/>
  <c r="R57" i="97"/>
  <c r="R27" i="97"/>
  <c r="R68" i="97"/>
  <c r="R37" i="97"/>
  <c r="R34" i="97"/>
  <c r="R24" i="97"/>
  <c r="R69" i="97"/>
  <c r="R45" i="97"/>
  <c r="R73" i="97"/>
  <c r="R54" i="97"/>
  <c r="R61" i="97"/>
  <c r="R46" i="97"/>
  <c r="R28" i="97"/>
  <c r="R55" i="97"/>
  <c r="R51" i="97"/>
  <c r="R50" i="97"/>
  <c r="R42" i="97"/>
  <c r="R41" i="97"/>
  <c r="R38" i="97"/>
  <c r="R25" i="97"/>
  <c r="R75" i="97"/>
  <c r="R67" i="97"/>
  <c r="R66" i="97"/>
  <c r="R47" i="97"/>
  <c r="R33" i="97"/>
  <c r="R29" i="97"/>
  <c r="R23" i="97"/>
  <c r="Z15" i="97"/>
  <c r="X15" i="97"/>
  <c r="R19" i="97"/>
  <c r="P12" i="95"/>
  <c r="V19" i="95"/>
  <c r="V21" i="95"/>
  <c r="J25" i="95"/>
  <c r="J29" i="95"/>
  <c r="J53" i="95"/>
  <c r="J63" i="95"/>
  <c r="J73" i="95"/>
  <c r="J81" i="95"/>
  <c r="V82" i="95"/>
  <c r="V77" i="97"/>
  <c r="V65" i="97"/>
  <c r="V49" i="97"/>
  <c r="V67" i="97"/>
  <c r="V59" i="97"/>
  <c r="V51" i="97"/>
  <c r="V27" i="97"/>
  <c r="V23" i="97"/>
  <c r="V72" i="97"/>
  <c r="V63" i="97"/>
  <c r="V53" i="97"/>
  <c r="V52" i="97"/>
  <c r="V39" i="97"/>
  <c r="V36" i="97"/>
  <c r="V64" i="97"/>
  <c r="V60" i="97"/>
  <c r="V57" i="97"/>
  <c r="V69" i="97"/>
  <c r="V68" i="97"/>
  <c r="V37" i="97"/>
  <c r="V34" i="97"/>
  <c r="V31" i="97"/>
  <c r="V24" i="97"/>
  <c r="V21" i="97"/>
  <c r="V45" i="97"/>
  <c r="V40" i="97"/>
  <c r="V73" i="97"/>
  <c r="V58" i="97"/>
  <c r="V54" i="97"/>
  <c r="V46" i="97"/>
  <c r="V61" i="97"/>
  <c r="V55" i="97"/>
  <c r="V42" i="97"/>
  <c r="V28" i="97"/>
  <c r="V62" i="97"/>
  <c r="V50" i="97"/>
  <c r="V41" i="97"/>
  <c r="V38" i="97"/>
  <c r="V32" i="97"/>
  <c r="V25" i="97"/>
  <c r="V22" i="97"/>
  <c r="V35" i="97"/>
  <c r="V15" i="97"/>
  <c r="V56" i="97"/>
  <c r="V48" i="97"/>
  <c r="V44" i="97"/>
  <c r="V43" i="97"/>
  <c r="V26" i="97"/>
  <c r="V20" i="97"/>
  <c r="T17" i="97"/>
  <c r="R39" i="97"/>
  <c r="V47" i="97"/>
  <c r="Z67" i="97"/>
  <c r="V74" i="95"/>
  <c r="V76" i="95"/>
  <c r="V72" i="95"/>
  <c r="V22" i="95"/>
  <c r="V26" i="95"/>
  <c r="V30" i="95"/>
  <c r="J34" i="95"/>
  <c r="J38" i="95"/>
  <c r="J42" i="95"/>
  <c r="V46" i="95"/>
  <c r="J52" i="95"/>
  <c r="V58" i="95"/>
  <c r="Z78" i="95"/>
  <c r="L18" i="96"/>
  <c r="V21" i="96"/>
  <c r="V26" i="96"/>
  <c r="V19" i="97"/>
  <c r="J23" i="97"/>
  <c r="J54" i="97"/>
  <c r="J33" i="95"/>
  <c r="J51" i="95"/>
  <c r="V55" i="95"/>
  <c r="J68" i="95"/>
  <c r="V69" i="95"/>
  <c r="V70" i="95"/>
  <c r="J76" i="95"/>
  <c r="V77" i="95"/>
  <c r="V78" i="95"/>
  <c r="N12" i="96"/>
  <c r="J24" i="96"/>
  <c r="D12" i="97"/>
  <c r="L13" i="97"/>
  <c r="N13" i="97" s="1"/>
  <c r="J24" i="95"/>
  <c r="J28" i="95"/>
  <c r="J32" i="95"/>
  <c r="J50" i="95"/>
  <c r="J61" i="95"/>
  <c r="V88" i="95"/>
  <c r="P79" i="97"/>
  <c r="V30" i="97"/>
  <c r="R70" i="97"/>
  <c r="J37" i="95"/>
  <c r="J41" i="95"/>
  <c r="J49" i="95"/>
  <c r="V53" i="95"/>
  <c r="V63" i="95"/>
  <c r="V64" i="95"/>
  <c r="J72" i="95"/>
  <c r="V73" i="95"/>
  <c r="R21" i="96"/>
  <c r="R20" i="96"/>
  <c r="R18" i="96"/>
  <c r="R16" i="96"/>
  <c r="R14" i="96"/>
  <c r="R22" i="96"/>
  <c r="P16" i="96"/>
  <c r="R31" i="96"/>
  <c r="R28" i="96"/>
  <c r="R17" i="97"/>
  <c r="J26" i="97"/>
  <c r="V70" i="97"/>
  <c r="F14" i="96"/>
  <c r="F16" i="96"/>
  <c r="F18" i="96"/>
  <c r="F20" i="96"/>
  <c r="F22" i="96"/>
  <c r="Z64" i="97"/>
  <c r="N31" i="97"/>
  <c r="Z42" i="97"/>
  <c r="Z51" i="97"/>
  <c r="L48" i="97"/>
  <c r="N64" i="97"/>
  <c r="D72" i="97"/>
  <c r="L72" i="97" s="1"/>
  <c r="N72" i="97" s="1"/>
  <c r="F28" i="96"/>
  <c r="N57" i="97"/>
  <c r="N48" i="97"/>
  <c r="Z69" i="97"/>
  <c r="L67" i="97"/>
  <c r="N67" i="97" s="1"/>
  <c r="X69" i="97"/>
  <c r="Z53" i="97"/>
  <c r="X67" i="97"/>
  <c r="H56" i="88" l="1"/>
  <c r="N16" i="88"/>
  <c r="D87" i="81"/>
  <c r="L16" i="81"/>
  <c r="T75" i="97"/>
  <c r="X17" i="97"/>
  <c r="Z17" i="97" s="1"/>
  <c r="H58" i="91"/>
  <c r="N16" i="91"/>
  <c r="T60" i="88"/>
  <c r="N20" i="79"/>
  <c r="H91" i="79"/>
  <c r="T34" i="78"/>
  <c r="D74" i="67"/>
  <c r="L23" i="67"/>
  <c r="X23" i="67"/>
  <c r="P74" i="67"/>
  <c r="F70" i="97"/>
  <c r="F69" i="97"/>
  <c r="F54" i="97"/>
  <c r="F53" i="97"/>
  <c r="F38" i="97"/>
  <c r="F34" i="97"/>
  <c r="F61" i="97"/>
  <c r="F45" i="97"/>
  <c r="F44" i="97"/>
  <c r="F73" i="97"/>
  <c r="F56" i="97"/>
  <c r="F55" i="97"/>
  <c r="F19" i="97"/>
  <c r="F15" i="97"/>
  <c r="F50" i="97"/>
  <c r="F41" i="97"/>
  <c r="F62" i="97"/>
  <c r="F59" i="97"/>
  <c r="F47" i="97"/>
  <c r="F66" i="97"/>
  <c r="F63" i="97"/>
  <c r="F39" i="97"/>
  <c r="F33" i="97"/>
  <c r="F26" i="97"/>
  <c r="F23" i="97"/>
  <c r="F43" i="97"/>
  <c r="F36" i="97"/>
  <c r="F72" i="97"/>
  <c r="F67" i="97"/>
  <c r="F52" i="97"/>
  <c r="F48" i="97"/>
  <c r="D17" i="97"/>
  <c r="F17" i="97" s="1"/>
  <c r="F77" i="97"/>
  <c r="F60" i="97"/>
  <c r="F57" i="97"/>
  <c r="F30" i="97"/>
  <c r="F64" i="97"/>
  <c r="F49" i="97"/>
  <c r="F27" i="97"/>
  <c r="F21" i="97"/>
  <c r="F20" i="97"/>
  <c r="F68" i="97"/>
  <c r="F40" i="97"/>
  <c r="F37" i="97"/>
  <c r="F24" i="97"/>
  <c r="F46" i="97"/>
  <c r="F35" i="97"/>
  <c r="F32" i="97"/>
  <c r="F28" i="97"/>
  <c r="F25" i="97"/>
  <c r="F22" i="97"/>
  <c r="F42" i="97"/>
  <c r="F65" i="97"/>
  <c r="F58" i="97"/>
  <c r="F51" i="97"/>
  <c r="L12" i="97"/>
  <c r="N12" i="97" s="1"/>
  <c r="F29" i="97"/>
  <c r="F31" i="97"/>
  <c r="R79" i="95"/>
  <c r="R86" i="95"/>
  <c r="R84" i="95"/>
  <c r="R66" i="95"/>
  <c r="R65" i="95"/>
  <c r="R80" i="95"/>
  <c r="R42" i="95"/>
  <c r="R38" i="95"/>
  <c r="R34" i="95"/>
  <c r="R81" i="95"/>
  <c r="R73" i="95"/>
  <c r="R63" i="95"/>
  <c r="R54" i="95"/>
  <c r="R53" i="95"/>
  <c r="R29" i="95"/>
  <c r="R25" i="95"/>
  <c r="R88" i="95"/>
  <c r="R64" i="95"/>
  <c r="X12" i="95"/>
  <c r="Z12" i="95" s="1"/>
  <c r="R77" i="95"/>
  <c r="R69" i="95"/>
  <c r="R56" i="95"/>
  <c r="R55" i="95"/>
  <c r="R44" i="95"/>
  <c r="R43" i="95"/>
  <c r="R39" i="95"/>
  <c r="R35" i="95"/>
  <c r="R16" i="95"/>
  <c r="R78" i="95"/>
  <c r="R74" i="95"/>
  <c r="R70" i="95"/>
  <c r="R30" i="95"/>
  <c r="R26" i="95"/>
  <c r="R82" i="95"/>
  <c r="R58" i="95"/>
  <c r="R57" i="95"/>
  <c r="R46" i="95"/>
  <c r="R45" i="95"/>
  <c r="R22" i="95"/>
  <c r="R17" i="95"/>
  <c r="R90" i="95"/>
  <c r="R71" i="95"/>
  <c r="R40" i="95"/>
  <c r="R36" i="95"/>
  <c r="R21" i="95"/>
  <c r="R19" i="95"/>
  <c r="R60" i="95"/>
  <c r="R59" i="95"/>
  <c r="R48" i="95"/>
  <c r="R47" i="95"/>
  <c r="R31" i="95"/>
  <c r="R27" i="95"/>
  <c r="R23" i="95"/>
  <c r="P19" i="95"/>
  <c r="R75" i="95"/>
  <c r="R67" i="95"/>
  <c r="R76" i="95"/>
  <c r="R68" i="95"/>
  <c r="R62" i="95"/>
  <c r="R52" i="95"/>
  <c r="R51" i="95"/>
  <c r="R50" i="95"/>
  <c r="R72" i="95"/>
  <c r="R93" i="95"/>
  <c r="R24" i="95"/>
  <c r="R61" i="95"/>
  <c r="R28" i="95"/>
  <c r="R32" i="95"/>
  <c r="R49" i="95"/>
  <c r="R41" i="95"/>
  <c r="R37" i="95"/>
  <c r="R33" i="95"/>
  <c r="T28" i="96"/>
  <c r="Z24" i="96"/>
  <c r="V17" i="97"/>
  <c r="L18" i="87"/>
  <c r="D28" i="87"/>
  <c r="J20" i="78"/>
  <c r="H30" i="78"/>
  <c r="R19" i="75"/>
  <c r="R42" i="75"/>
  <c r="R38" i="75"/>
  <c r="R51" i="75"/>
  <c r="R33" i="75"/>
  <c r="R29" i="75"/>
  <c r="R20" i="75"/>
  <c r="R43" i="75"/>
  <c r="R39" i="75"/>
  <c r="R35" i="75"/>
  <c r="R34" i="75"/>
  <c r="R30" i="75"/>
  <c r="R26" i="75"/>
  <c r="R21" i="75"/>
  <c r="R44" i="75"/>
  <c r="R40" i="75"/>
  <c r="R36" i="75"/>
  <c r="R25" i="75"/>
  <c r="R31" i="75"/>
  <c r="R27" i="75"/>
  <c r="R47" i="75"/>
  <c r="R32" i="75"/>
  <c r="R28" i="75"/>
  <c r="X12" i="75"/>
  <c r="Z12" i="75" s="1"/>
  <c r="R37" i="75"/>
  <c r="R41" i="75"/>
  <c r="R18" i="75"/>
  <c r="R45" i="75"/>
  <c r="P23" i="75"/>
  <c r="F85" i="70"/>
  <c r="F73" i="70"/>
  <c r="F61" i="70"/>
  <c r="F60" i="70"/>
  <c r="F37" i="70"/>
  <c r="F33" i="70"/>
  <c r="F68" i="70"/>
  <c r="F67" i="70"/>
  <c r="F51" i="70"/>
  <c r="F47" i="70"/>
  <c r="F43" i="70"/>
  <c r="F74" i="70"/>
  <c r="F70" i="70"/>
  <c r="F69" i="70"/>
  <c r="F62" i="70"/>
  <c r="F38" i="70"/>
  <c r="F34" i="70"/>
  <c r="F53" i="70"/>
  <c r="F52" i="70"/>
  <c r="F76" i="70"/>
  <c r="F75" i="70"/>
  <c r="F64" i="70"/>
  <c r="F63" i="70"/>
  <c r="F48" i="70"/>
  <c r="F44" i="70"/>
  <c r="L12" i="70"/>
  <c r="N12" i="70" s="1"/>
  <c r="F71" i="70"/>
  <c r="F55" i="70"/>
  <c r="F54" i="70"/>
  <c r="F39" i="70"/>
  <c r="F35" i="70"/>
  <c r="F78" i="70"/>
  <c r="F77" i="70"/>
  <c r="F65" i="70"/>
  <c r="F57" i="70"/>
  <c r="F56" i="70"/>
  <c r="F49" i="70"/>
  <c r="F45" i="70"/>
  <c r="F81" i="70"/>
  <c r="F72" i="70"/>
  <c r="F40" i="70"/>
  <c r="F36" i="70"/>
  <c r="F32" i="70"/>
  <c r="F31" i="70"/>
  <c r="F66" i="70"/>
  <c r="F50" i="70"/>
  <c r="F46" i="70"/>
  <c r="F42" i="70"/>
  <c r="F41" i="70"/>
  <c r="D28" i="70"/>
  <c r="F28" i="70"/>
  <c r="F80" i="70"/>
  <c r="F59" i="70"/>
  <c r="F26" i="70"/>
  <c r="F30" i="70"/>
  <c r="F58" i="70"/>
  <c r="T119" i="66"/>
  <c r="D80" i="56"/>
  <c r="L17" i="56"/>
  <c r="X16" i="54"/>
  <c r="P22" i="54"/>
  <c r="H75" i="48"/>
  <c r="N17" i="48"/>
  <c r="T75" i="48"/>
  <c r="F92" i="45"/>
  <c r="F91" i="45"/>
  <c r="F76" i="45"/>
  <c r="F44" i="45"/>
  <c r="F40" i="45"/>
  <c r="F100" i="45"/>
  <c r="F87" i="45"/>
  <c r="F83" i="45"/>
  <c r="F71" i="45"/>
  <c r="F63" i="45"/>
  <c r="F62" i="45"/>
  <c r="F104" i="45"/>
  <c r="F25" i="45"/>
  <c r="F93" i="45"/>
  <c r="F77" i="45"/>
  <c r="F65" i="45"/>
  <c r="F64" i="45"/>
  <c r="F53" i="45"/>
  <c r="F52" i="45"/>
  <c r="F45" i="45"/>
  <c r="F41" i="45"/>
  <c r="D23" i="45"/>
  <c r="F23" i="45" s="1"/>
  <c r="F95" i="45"/>
  <c r="F94" i="45"/>
  <c r="F79" i="45"/>
  <c r="F78" i="45"/>
  <c r="F67" i="45"/>
  <c r="F66" i="45"/>
  <c r="F55" i="45"/>
  <c r="F54" i="45"/>
  <c r="F19" i="45"/>
  <c r="F18" i="45"/>
  <c r="F74" i="45"/>
  <c r="F73" i="45"/>
  <c r="F46" i="45"/>
  <c r="F42" i="45"/>
  <c r="F38" i="45"/>
  <c r="F37" i="45"/>
  <c r="F97" i="45"/>
  <c r="F96" i="45"/>
  <c r="F89" i="45"/>
  <c r="F85" i="45"/>
  <c r="F81" i="45"/>
  <c r="F80" i="45"/>
  <c r="F69" i="45"/>
  <c r="F68" i="45"/>
  <c r="F57" i="45"/>
  <c r="F56" i="45"/>
  <c r="F33" i="45"/>
  <c r="F29" i="45"/>
  <c r="F75" i="45"/>
  <c r="F59" i="45"/>
  <c r="F58" i="45"/>
  <c r="F61" i="45"/>
  <c r="F60" i="45"/>
  <c r="F49" i="45"/>
  <c r="F48" i="45"/>
  <c r="F21" i="45"/>
  <c r="F28" i="45"/>
  <c r="F86" i="45"/>
  <c r="F32" i="45"/>
  <c r="F30" i="45"/>
  <c r="L12" i="45"/>
  <c r="N12" i="45" s="1"/>
  <c r="F98" i="45"/>
  <c r="F50" i="45"/>
  <c r="F34" i="45"/>
  <c r="F36" i="45"/>
  <c r="F26" i="45"/>
  <c r="F88" i="45"/>
  <c r="F70" i="45"/>
  <c r="F82" i="45"/>
  <c r="F51" i="45"/>
  <c r="F72" i="45"/>
  <c r="F39" i="45"/>
  <c r="F27" i="45"/>
  <c r="F90" i="45"/>
  <c r="F31" i="45"/>
  <c r="F20" i="45"/>
  <c r="F84" i="45"/>
  <c r="F35" i="45"/>
  <c r="F47" i="45"/>
  <c r="F43" i="45"/>
  <c r="L32" i="39"/>
  <c r="D128" i="39"/>
  <c r="R162" i="30"/>
  <c r="R161" i="30"/>
  <c r="R154" i="30"/>
  <c r="R153" i="30"/>
  <c r="R149" i="30"/>
  <c r="R163" i="30"/>
  <c r="R155" i="30"/>
  <c r="R169" i="30"/>
  <c r="R151" i="30"/>
  <c r="R147" i="30"/>
  <c r="R159" i="30"/>
  <c r="R158" i="30"/>
  <c r="R173" i="30"/>
  <c r="R168" i="30"/>
  <c r="R160" i="30"/>
  <c r="R148" i="30"/>
  <c r="R139" i="30"/>
  <c r="R108" i="30"/>
  <c r="R107" i="30"/>
  <c r="R99" i="30"/>
  <c r="R95" i="30"/>
  <c r="R80" i="30"/>
  <c r="R52" i="30"/>
  <c r="R156" i="30"/>
  <c r="R91" i="30"/>
  <c r="R90" i="30"/>
  <c r="R86" i="30"/>
  <c r="R82" i="30"/>
  <c r="P78" i="30"/>
  <c r="R146" i="30"/>
  <c r="R134" i="30"/>
  <c r="R133" i="30"/>
  <c r="R126" i="30"/>
  <c r="R125" i="30"/>
  <c r="R118" i="30"/>
  <c r="R117" i="30"/>
  <c r="R109" i="30"/>
  <c r="R73" i="30"/>
  <c r="R69" i="30"/>
  <c r="R65" i="30"/>
  <c r="R61" i="30"/>
  <c r="R57" i="30"/>
  <c r="R53" i="30"/>
  <c r="R165" i="30"/>
  <c r="R157" i="30"/>
  <c r="R140" i="30"/>
  <c r="R100" i="30"/>
  <c r="R96" i="30"/>
  <c r="R92" i="30"/>
  <c r="R135" i="30"/>
  <c r="R128" i="30"/>
  <c r="R127" i="30"/>
  <c r="R119" i="30"/>
  <c r="R87" i="30"/>
  <c r="R83" i="30"/>
  <c r="R111" i="30"/>
  <c r="R110" i="30"/>
  <c r="R166" i="30"/>
  <c r="R142" i="30"/>
  <c r="R141" i="30"/>
  <c r="R130" i="30"/>
  <c r="R129" i="30"/>
  <c r="R102" i="30"/>
  <c r="R101" i="30"/>
  <c r="R97" i="30"/>
  <c r="R93" i="30"/>
  <c r="R136" i="30"/>
  <c r="R121" i="30"/>
  <c r="R120" i="30"/>
  <c r="R113" i="30"/>
  <c r="R112" i="30"/>
  <c r="R88" i="30"/>
  <c r="R84" i="30"/>
  <c r="R143" i="30"/>
  <c r="R131" i="30"/>
  <c r="R104" i="30"/>
  <c r="R103" i="30"/>
  <c r="R75" i="30"/>
  <c r="R71" i="30"/>
  <c r="R67" i="30"/>
  <c r="R63" i="30"/>
  <c r="R59" i="30"/>
  <c r="R55" i="30"/>
  <c r="R145" i="30"/>
  <c r="R144" i="30"/>
  <c r="R132" i="30"/>
  <c r="R124" i="30"/>
  <c r="R116" i="30"/>
  <c r="R81" i="30"/>
  <c r="R76" i="30"/>
  <c r="R72" i="30"/>
  <c r="R68" i="30"/>
  <c r="R64" i="30"/>
  <c r="R60" i="30"/>
  <c r="R56" i="30"/>
  <c r="X12" i="30"/>
  <c r="Z12" i="30" s="1"/>
  <c r="R114" i="30"/>
  <c r="R85" i="30"/>
  <c r="R150" i="30"/>
  <c r="R54" i="30"/>
  <c r="R138" i="30"/>
  <c r="R167" i="30"/>
  <c r="R152" i="30"/>
  <c r="R122" i="30"/>
  <c r="R89" i="30"/>
  <c r="R115" i="30"/>
  <c r="R105" i="30"/>
  <c r="R137" i="30"/>
  <c r="R123" i="30"/>
  <c r="R94" i="30"/>
  <c r="R58" i="30"/>
  <c r="R62" i="30"/>
  <c r="R66" i="30"/>
  <c r="R70" i="30"/>
  <c r="R74" i="30"/>
  <c r="R98" i="30"/>
  <c r="R106" i="30"/>
  <c r="H90" i="33"/>
  <c r="T96" i="24"/>
  <c r="V38" i="24"/>
  <c r="D27" i="99"/>
  <c r="L18" i="99"/>
  <c r="H27" i="53"/>
  <c r="N18" i="53"/>
  <c r="X18" i="37"/>
  <c r="P27" i="37"/>
  <c r="Z18" i="34"/>
  <c r="T27" i="34"/>
  <c r="T27" i="28"/>
  <c r="Z18" i="28"/>
  <c r="L18" i="28"/>
  <c r="D27" i="28"/>
  <c r="H27" i="20"/>
  <c r="N18" i="20"/>
  <c r="L18" i="10"/>
  <c r="D27" i="10"/>
  <c r="L18" i="7"/>
  <c r="D27" i="7"/>
  <c r="T27" i="10"/>
  <c r="Z18" i="10"/>
  <c r="L23" i="94"/>
  <c r="D98" i="94"/>
  <c r="D91" i="92"/>
  <c r="L23" i="92"/>
  <c r="N23" i="92" s="1"/>
  <c r="T171" i="30"/>
  <c r="V78" i="30"/>
  <c r="R222" i="15"/>
  <c r="R221" i="15"/>
  <c r="R206" i="15"/>
  <c r="R202" i="15"/>
  <c r="R191" i="15"/>
  <c r="R190" i="15"/>
  <c r="R179" i="15"/>
  <c r="R178" i="15"/>
  <c r="R170" i="15"/>
  <c r="R223" i="15"/>
  <c r="R214" i="15"/>
  <c r="R213" i="15"/>
  <c r="R197" i="15"/>
  <c r="R186" i="15"/>
  <c r="R185" i="15"/>
  <c r="R141" i="15"/>
  <c r="R137" i="15"/>
  <c r="R122" i="15"/>
  <c r="R224" i="15"/>
  <c r="R192" i="15"/>
  <c r="R181" i="15"/>
  <c r="R180" i="15"/>
  <c r="R165" i="15"/>
  <c r="R164" i="15"/>
  <c r="R156" i="15"/>
  <c r="R148" i="15"/>
  <c r="R132" i="15"/>
  <c r="R225" i="15"/>
  <c r="R215" i="15"/>
  <c r="R207" i="15"/>
  <c r="R203" i="15"/>
  <c r="R187" i="15"/>
  <c r="R226" i="15"/>
  <c r="R199" i="15"/>
  <c r="R198" i="15"/>
  <c r="R182" i="15"/>
  <c r="R166" i="15"/>
  <c r="R142" i="15"/>
  <c r="R138" i="15"/>
  <c r="R79" i="15"/>
  <c r="R193" i="15"/>
  <c r="R174" i="15"/>
  <c r="R173" i="15"/>
  <c r="R158" i="15"/>
  <c r="R157" i="15"/>
  <c r="R150" i="15"/>
  <c r="R149" i="15"/>
  <c r="R183" i="15"/>
  <c r="R175" i="15"/>
  <c r="R168" i="15"/>
  <c r="R167" i="15"/>
  <c r="R159" i="15"/>
  <c r="R152" i="15"/>
  <c r="R151" i="15"/>
  <c r="R143" i="15"/>
  <c r="R139" i="15"/>
  <c r="R135" i="15"/>
  <c r="R230" i="15"/>
  <c r="R210" i="15"/>
  <c r="R194" i="15"/>
  <c r="R218" i="15"/>
  <c r="R217" i="15"/>
  <c r="R205" i="15"/>
  <c r="R201" i="15"/>
  <c r="R189" i="15"/>
  <c r="R169" i="15"/>
  <c r="R219" i="15"/>
  <c r="R212" i="15"/>
  <c r="R211" i="15"/>
  <c r="R196" i="15"/>
  <c r="R195" i="15"/>
  <c r="R131" i="15"/>
  <c r="R127" i="15"/>
  <c r="R209" i="15"/>
  <c r="R161" i="15"/>
  <c r="R154" i="15"/>
  <c r="R124" i="15"/>
  <c r="R104" i="15"/>
  <c r="R80" i="15"/>
  <c r="R111" i="15"/>
  <c r="R101" i="15"/>
  <c r="R94" i="15"/>
  <c r="R87" i="15"/>
  <c r="R118" i="15"/>
  <c r="R108" i="15"/>
  <c r="R84" i="15"/>
  <c r="R172" i="15"/>
  <c r="R155" i="15"/>
  <c r="R115" i="15"/>
  <c r="R105" i="15"/>
  <c r="R98" i="15"/>
  <c r="R91" i="15"/>
  <c r="R81" i="15"/>
  <c r="R204" i="15"/>
  <c r="R130" i="15"/>
  <c r="R112" i="15"/>
  <c r="R88" i="15"/>
  <c r="R146" i="15"/>
  <c r="R125" i="15"/>
  <c r="R109" i="15"/>
  <c r="R102" i="15"/>
  <c r="R95" i="15"/>
  <c r="R85" i="15"/>
  <c r="R176" i="15"/>
  <c r="R162" i="15"/>
  <c r="R153" i="15"/>
  <c r="R133" i="15"/>
  <c r="R128" i="15"/>
  <c r="P120" i="15"/>
  <c r="R120" i="15" s="1"/>
  <c r="R116" i="15"/>
  <c r="R92" i="15"/>
  <c r="R184" i="15"/>
  <c r="R113" i="15"/>
  <c r="R106" i="15"/>
  <c r="R99" i="15"/>
  <c r="R89" i="15"/>
  <c r="R82" i="15"/>
  <c r="R160" i="15"/>
  <c r="R147" i="15"/>
  <c r="R144" i="15"/>
  <c r="R96" i="15"/>
  <c r="R208" i="15"/>
  <c r="R163" i="15"/>
  <c r="R110" i="15"/>
  <c r="R103" i="15"/>
  <c r="R93" i="15"/>
  <c r="R86" i="15"/>
  <c r="R216" i="15"/>
  <c r="R200" i="15"/>
  <c r="R188" i="15"/>
  <c r="R177" i="15"/>
  <c r="R171" i="15"/>
  <c r="R145" i="15"/>
  <c r="R136" i="15"/>
  <c r="R129" i="15"/>
  <c r="R114" i="15"/>
  <c r="R107" i="15"/>
  <c r="R97" i="15"/>
  <c r="R90" i="15"/>
  <c r="R83" i="15"/>
  <c r="R140" i="15"/>
  <c r="R134" i="15"/>
  <c r="R100" i="15"/>
  <c r="R117" i="15"/>
  <c r="X12" i="15"/>
  <c r="Z12" i="15" s="1"/>
  <c r="R126" i="15"/>
  <c r="R123" i="15"/>
  <c r="H22" i="6"/>
  <c r="N16" i="6"/>
  <c r="T27" i="98"/>
  <c r="Z18" i="98"/>
  <c r="H27" i="44"/>
  <c r="N18" i="44"/>
  <c r="D27" i="44"/>
  <c r="L18" i="44"/>
  <c r="L18" i="52"/>
  <c r="D27" i="52"/>
  <c r="T27" i="40"/>
  <c r="Z18" i="40"/>
  <c r="H27" i="35"/>
  <c r="N18" i="35"/>
  <c r="T27" i="37"/>
  <c r="Z18" i="37"/>
  <c r="H27" i="32"/>
  <c r="N18" i="32"/>
  <c r="L18" i="31"/>
  <c r="D27" i="31"/>
  <c r="T27" i="35"/>
  <c r="Z18" i="35"/>
  <c r="L18" i="29"/>
  <c r="D27" i="29"/>
  <c r="L18" i="23"/>
  <c r="D27" i="23"/>
  <c r="X18" i="8"/>
  <c r="P27" i="8"/>
  <c r="X18" i="11"/>
  <c r="P27" i="11"/>
  <c r="X18" i="10"/>
  <c r="P27" i="10"/>
  <c r="N16" i="93"/>
  <c r="H24" i="93"/>
  <c r="D28" i="96"/>
  <c r="L24" i="96"/>
  <c r="L16" i="93"/>
  <c r="Z16" i="91"/>
  <c r="T58" i="91"/>
  <c r="Z20" i="86"/>
  <c r="T86" i="86"/>
  <c r="T28" i="87"/>
  <c r="Z18" i="87"/>
  <c r="T99" i="85"/>
  <c r="H103" i="85"/>
  <c r="P83" i="84"/>
  <c r="L20" i="78"/>
  <c r="N20" i="78" s="1"/>
  <c r="D30" i="78"/>
  <c r="R28" i="78"/>
  <c r="R32" i="78"/>
  <c r="R17" i="78"/>
  <c r="R25" i="78"/>
  <c r="R24" i="78"/>
  <c r="P20" i="78"/>
  <c r="R22" i="78"/>
  <c r="R26" i="78"/>
  <c r="R23" i="78"/>
  <c r="R18" i="78"/>
  <c r="X12" i="78"/>
  <c r="Z12" i="78" s="1"/>
  <c r="R16" i="78"/>
  <c r="P87" i="81"/>
  <c r="T90" i="76"/>
  <c r="V21" i="76"/>
  <c r="H74" i="74"/>
  <c r="H94" i="76"/>
  <c r="F53" i="74"/>
  <c r="F52" i="74"/>
  <c r="F41" i="74"/>
  <c r="F37" i="74"/>
  <c r="F33" i="74"/>
  <c r="F60" i="74"/>
  <c r="F70" i="74"/>
  <c r="F68" i="74"/>
  <c r="F43" i="74"/>
  <c r="F42" i="74"/>
  <c r="F72" i="74"/>
  <c r="F54" i="74"/>
  <c r="F38" i="74"/>
  <c r="F34" i="74"/>
  <c r="F61" i="74"/>
  <c r="F45" i="74"/>
  <c r="F44" i="74"/>
  <c r="F56" i="74"/>
  <c r="F55" i="74"/>
  <c r="F77" i="74"/>
  <c r="F74" i="74"/>
  <c r="F47" i="74"/>
  <c r="F46" i="74"/>
  <c r="F62" i="74"/>
  <c r="F30" i="74"/>
  <c r="F26" i="74"/>
  <c r="L12" i="74"/>
  <c r="F64" i="74"/>
  <c r="F63" i="74"/>
  <c r="F40" i="74"/>
  <c r="F36" i="74"/>
  <c r="F32" i="74"/>
  <c r="F31" i="74"/>
  <c r="F66" i="74"/>
  <c r="F65" i="74"/>
  <c r="F21" i="74"/>
  <c r="F19" i="74"/>
  <c r="F23" i="74"/>
  <c r="F28" i="74"/>
  <c r="F15" i="74"/>
  <c r="F58" i="74"/>
  <c r="F39" i="74"/>
  <c r="F49" i="74"/>
  <c r="F35" i="74"/>
  <c r="D19" i="74"/>
  <c r="F59" i="74"/>
  <c r="F24" i="74"/>
  <c r="F29" i="74"/>
  <c r="F16" i="74"/>
  <c r="F50" i="74"/>
  <c r="F57" i="74"/>
  <c r="F27" i="74"/>
  <c r="F25" i="74"/>
  <c r="F17" i="74"/>
  <c r="F48" i="74"/>
  <c r="F22" i="74"/>
  <c r="F51" i="74"/>
  <c r="R54" i="70"/>
  <c r="R53" i="70"/>
  <c r="R77" i="70"/>
  <c r="R76" i="70"/>
  <c r="R64" i="70"/>
  <c r="R48" i="70"/>
  <c r="R44" i="70"/>
  <c r="X12" i="70"/>
  <c r="Z12" i="70" s="1"/>
  <c r="R71" i="70"/>
  <c r="R56" i="70"/>
  <c r="R55" i="70"/>
  <c r="R39" i="70"/>
  <c r="R35" i="70"/>
  <c r="R78" i="70"/>
  <c r="R31" i="70"/>
  <c r="R81" i="70"/>
  <c r="R80" i="70"/>
  <c r="R65" i="70"/>
  <c r="R58" i="70"/>
  <c r="R57" i="70"/>
  <c r="R49" i="70"/>
  <c r="R45" i="70"/>
  <c r="R30" i="70"/>
  <c r="R26" i="70"/>
  <c r="R72" i="70"/>
  <c r="R41" i="70"/>
  <c r="R40" i="70"/>
  <c r="R36" i="70"/>
  <c r="R32" i="70"/>
  <c r="P28" i="70"/>
  <c r="R28" i="70" s="1"/>
  <c r="R60" i="70"/>
  <c r="R59" i="70"/>
  <c r="R67" i="70"/>
  <c r="R66" i="70"/>
  <c r="R50" i="70"/>
  <c r="R85" i="70"/>
  <c r="R73" i="70"/>
  <c r="R61" i="70"/>
  <c r="R37" i="70"/>
  <c r="R33" i="70"/>
  <c r="R69" i="70"/>
  <c r="R68" i="70"/>
  <c r="R75" i="70"/>
  <c r="R74" i="70"/>
  <c r="R70" i="70"/>
  <c r="R63" i="70"/>
  <c r="R62" i="70"/>
  <c r="R38" i="70"/>
  <c r="R34" i="70"/>
  <c r="R52" i="70"/>
  <c r="R46" i="70"/>
  <c r="R42" i="70"/>
  <c r="R43" i="70"/>
  <c r="R51" i="70"/>
  <c r="R47" i="70"/>
  <c r="X19" i="74"/>
  <c r="P70" i="74"/>
  <c r="T59" i="60"/>
  <c r="Z16" i="60"/>
  <c r="R62" i="57"/>
  <c r="R61" i="57"/>
  <c r="R30" i="57"/>
  <c r="R29" i="57"/>
  <c r="R25" i="57"/>
  <c r="R21" i="57"/>
  <c r="R76" i="57"/>
  <c r="R81" i="57"/>
  <c r="R78" i="57"/>
  <c r="R64" i="57"/>
  <c r="R63" i="57"/>
  <c r="R56" i="57"/>
  <c r="R55" i="57"/>
  <c r="R48" i="57"/>
  <c r="R47" i="57"/>
  <c r="R39" i="57"/>
  <c r="R35" i="57"/>
  <c r="R31" i="57"/>
  <c r="R26" i="57"/>
  <c r="R22" i="57"/>
  <c r="R41" i="57"/>
  <c r="R40" i="57"/>
  <c r="R36" i="57"/>
  <c r="R32" i="57"/>
  <c r="R67" i="57"/>
  <c r="R59" i="57"/>
  <c r="R52" i="57"/>
  <c r="R51" i="57"/>
  <c r="R27" i="57"/>
  <c r="R23" i="57"/>
  <c r="R70" i="57"/>
  <c r="R69" i="57"/>
  <c r="R43" i="57"/>
  <c r="R42" i="57"/>
  <c r="R71" i="57"/>
  <c r="R53" i="57"/>
  <c r="R37" i="57"/>
  <c r="R33" i="57"/>
  <c r="R72" i="57"/>
  <c r="R60" i="57"/>
  <c r="R45" i="57"/>
  <c r="R44" i="57"/>
  <c r="R28" i="57"/>
  <c r="R24" i="57"/>
  <c r="R54" i="57"/>
  <c r="R46" i="57"/>
  <c r="R38" i="57"/>
  <c r="R34" i="57"/>
  <c r="R19" i="57"/>
  <c r="R17" i="57"/>
  <c r="R15" i="57"/>
  <c r="R58" i="57"/>
  <c r="R66" i="57"/>
  <c r="R49" i="57"/>
  <c r="R20" i="57"/>
  <c r="P17" i="57"/>
  <c r="R57" i="57"/>
  <c r="X12" i="57"/>
  <c r="R74" i="57"/>
  <c r="R50" i="57"/>
  <c r="R65" i="57"/>
  <c r="P33" i="55"/>
  <c r="X16" i="55"/>
  <c r="H37" i="55"/>
  <c r="T128" i="39"/>
  <c r="H132" i="36"/>
  <c r="D86" i="33"/>
  <c r="L30" i="33"/>
  <c r="N30" i="33" s="1"/>
  <c r="T109" i="21"/>
  <c r="X27" i="21"/>
  <c r="Z27" i="21" s="1"/>
  <c r="P109" i="21"/>
  <c r="F87" i="24"/>
  <c r="F63" i="24"/>
  <c r="F62" i="24"/>
  <c r="F35" i="24"/>
  <c r="F31" i="24"/>
  <c r="F82" i="24"/>
  <c r="F74" i="24"/>
  <c r="F73" i="24"/>
  <c r="F58" i="24"/>
  <c r="F54" i="24"/>
  <c r="F103" i="24"/>
  <c r="F100" i="24"/>
  <c r="F89" i="24"/>
  <c r="F88" i="24"/>
  <c r="F65" i="24"/>
  <c r="F64" i="24"/>
  <c r="F49" i="24"/>
  <c r="F45" i="24"/>
  <c r="F84" i="24"/>
  <c r="F83" i="24"/>
  <c r="F76" i="24"/>
  <c r="F75" i="24"/>
  <c r="F36" i="24"/>
  <c r="F32" i="24"/>
  <c r="L12" i="24"/>
  <c r="N12" i="24" s="1"/>
  <c r="F67" i="24"/>
  <c r="F66" i="24"/>
  <c r="F59" i="24"/>
  <c r="F55" i="24"/>
  <c r="F90" i="24"/>
  <c r="F78" i="24"/>
  <c r="F77" i="24"/>
  <c r="F50" i="24"/>
  <c r="F46" i="24"/>
  <c r="F42" i="24"/>
  <c r="F41" i="24"/>
  <c r="F85" i="24"/>
  <c r="F69" i="24"/>
  <c r="F68" i="24"/>
  <c r="F40" i="24"/>
  <c r="F38" i="24"/>
  <c r="F33" i="24"/>
  <c r="F29" i="24"/>
  <c r="F28" i="24"/>
  <c r="F92" i="24"/>
  <c r="F91" i="24"/>
  <c r="F60" i="24"/>
  <c r="F56" i="24"/>
  <c r="F52" i="24"/>
  <c r="F51" i="24"/>
  <c r="D38" i="24"/>
  <c r="F79" i="24"/>
  <c r="F47" i="24"/>
  <c r="F43" i="24"/>
  <c r="F86" i="24"/>
  <c r="F70" i="24"/>
  <c r="F34" i="24"/>
  <c r="F30" i="24"/>
  <c r="F98" i="24"/>
  <c r="F72" i="24"/>
  <c r="F71" i="24"/>
  <c r="F48" i="24"/>
  <c r="F44" i="24"/>
  <c r="F57" i="24"/>
  <c r="F94" i="24"/>
  <c r="F80" i="24"/>
  <c r="F61" i="24"/>
  <c r="F96" i="24"/>
  <c r="F81" i="24"/>
  <c r="F53" i="24"/>
  <c r="F230" i="15"/>
  <c r="F210" i="15"/>
  <c r="F209" i="15"/>
  <c r="F194" i="15"/>
  <c r="F217" i="15"/>
  <c r="F205" i="15"/>
  <c r="F201" i="15"/>
  <c r="F189" i="15"/>
  <c r="F169" i="15"/>
  <c r="F168" i="15"/>
  <c r="F153" i="15"/>
  <c r="F152" i="15"/>
  <c r="F117" i="15"/>
  <c r="F184" i="15"/>
  <c r="F176" i="15"/>
  <c r="F160" i="15"/>
  <c r="F144" i="15"/>
  <c r="F140" i="15"/>
  <c r="F136" i="15"/>
  <c r="F219" i="15"/>
  <c r="F218" i="15"/>
  <c r="F211" i="15"/>
  <c r="F195" i="15"/>
  <c r="F206" i="15"/>
  <c r="F202" i="15"/>
  <c r="F190" i="15"/>
  <c r="F178" i="15"/>
  <c r="F177" i="15"/>
  <c r="F170" i="15"/>
  <c r="F162" i="15"/>
  <c r="F161" i="15"/>
  <c r="F154" i="15"/>
  <c r="F146" i="15"/>
  <c r="F145" i="15"/>
  <c r="F118" i="15"/>
  <c r="F114" i="15"/>
  <c r="F110" i="15"/>
  <c r="F106" i="15"/>
  <c r="F102" i="15"/>
  <c r="F98" i="15"/>
  <c r="F94" i="15"/>
  <c r="F90" i="15"/>
  <c r="F86" i="15"/>
  <c r="F82" i="15"/>
  <c r="F222" i="15"/>
  <c r="F213" i="15"/>
  <c r="F212" i="15"/>
  <c r="F197" i="15"/>
  <c r="F196" i="15"/>
  <c r="F185" i="15"/>
  <c r="F224" i="15"/>
  <c r="F215" i="15"/>
  <c r="F214" i="15"/>
  <c r="F207" i="15"/>
  <c r="F203" i="15"/>
  <c r="F187" i="15"/>
  <c r="F186" i="15"/>
  <c r="F171" i="15"/>
  <c r="F225" i="15"/>
  <c r="F198" i="15"/>
  <c r="F182" i="15"/>
  <c r="F181" i="15"/>
  <c r="F166" i="15"/>
  <c r="F165" i="15"/>
  <c r="F142" i="15"/>
  <c r="F226" i="15"/>
  <c r="F193" i="15"/>
  <c r="F173" i="15"/>
  <c r="F172" i="15"/>
  <c r="F183" i="15"/>
  <c r="F175" i="15"/>
  <c r="F174" i="15"/>
  <c r="F167" i="15"/>
  <c r="F159" i="15"/>
  <c r="F158" i="15"/>
  <c r="F151" i="15"/>
  <c r="F150" i="15"/>
  <c r="F143" i="15"/>
  <c r="F139" i="15"/>
  <c r="F135" i="15"/>
  <c r="F134" i="15"/>
  <c r="F147" i="15"/>
  <c r="F138" i="15"/>
  <c r="F131" i="15"/>
  <c r="F96" i="15"/>
  <c r="F216" i="15"/>
  <c r="F200" i="15"/>
  <c r="F188" i="15"/>
  <c r="F163" i="15"/>
  <c r="F126" i="15"/>
  <c r="F122" i="15"/>
  <c r="F103" i="15"/>
  <c r="F93" i="15"/>
  <c r="F192" i="15"/>
  <c r="F100" i="15"/>
  <c r="L12" i="15"/>
  <c r="N12" i="15" s="1"/>
  <c r="F223" i="15"/>
  <c r="F221" i="15"/>
  <c r="F179" i="15"/>
  <c r="F148" i="15"/>
  <c r="F129" i="15"/>
  <c r="F123" i="15"/>
  <c r="F107" i="15"/>
  <c r="F97" i="15"/>
  <c r="F83" i="15"/>
  <c r="F79" i="15"/>
  <c r="F164" i="15"/>
  <c r="F132" i="15"/>
  <c r="F124" i="15"/>
  <c r="F104" i="15"/>
  <c r="F80" i="15"/>
  <c r="F157" i="15"/>
  <c r="F141" i="15"/>
  <c r="F111" i="15"/>
  <c r="F101" i="15"/>
  <c r="F87" i="15"/>
  <c r="F204" i="15"/>
  <c r="F127" i="15"/>
  <c r="F108" i="15"/>
  <c r="F84" i="15"/>
  <c r="F199" i="15"/>
  <c r="F180" i="15"/>
  <c r="F155" i="15"/>
  <c r="F137" i="15"/>
  <c r="F130" i="15"/>
  <c r="F115" i="15"/>
  <c r="F105" i="15"/>
  <c r="F91" i="15"/>
  <c r="F81" i="15"/>
  <c r="F112" i="15"/>
  <c r="F88" i="15"/>
  <c r="F125" i="15"/>
  <c r="F109" i="15"/>
  <c r="F95" i="15"/>
  <c r="F85" i="15"/>
  <c r="F208" i="15"/>
  <c r="D120" i="15"/>
  <c r="F113" i="15"/>
  <c r="F99" i="15"/>
  <c r="F89" i="15"/>
  <c r="F92" i="15"/>
  <c r="F133" i="15"/>
  <c r="F116" i="15"/>
  <c r="F128" i="15"/>
  <c r="F156" i="15"/>
  <c r="F149" i="15"/>
  <c r="F120" i="15"/>
  <c r="F191" i="15"/>
  <c r="F266" i="3"/>
  <c r="F257" i="3"/>
  <c r="F256" i="3"/>
  <c r="F249" i="3"/>
  <c r="F245" i="3"/>
  <c r="F268" i="3"/>
  <c r="F269" i="3"/>
  <c r="F258" i="3"/>
  <c r="F250" i="3"/>
  <c r="F271" i="3"/>
  <c r="F248" i="3"/>
  <c r="F244" i="3"/>
  <c r="F263" i="3"/>
  <c r="F251" i="3"/>
  <c r="F223" i="3"/>
  <c r="F215" i="3"/>
  <c r="F214" i="3"/>
  <c r="F199" i="3"/>
  <c r="F198" i="3"/>
  <c r="F191" i="3"/>
  <c r="F190" i="3"/>
  <c r="F183" i="3"/>
  <c r="F167" i="3"/>
  <c r="F163" i="3"/>
  <c r="F159" i="3"/>
  <c r="F196" i="3"/>
  <c r="F156" i="3"/>
  <c r="F145" i="3"/>
  <c r="F133" i="3"/>
  <c r="F105" i="3"/>
  <c r="F255" i="3"/>
  <c r="F246" i="3"/>
  <c r="F234" i="3"/>
  <c r="F206" i="3"/>
  <c r="F150" i="3"/>
  <c r="F146" i="3"/>
  <c r="F142" i="3"/>
  <c r="F138" i="3"/>
  <c r="F134" i="3"/>
  <c r="F130" i="3"/>
  <c r="F126" i="3"/>
  <c r="F122" i="3"/>
  <c r="F118" i="3"/>
  <c r="F114" i="3"/>
  <c r="F110" i="3"/>
  <c r="F106" i="3"/>
  <c r="F213" i="3"/>
  <c r="F270" i="3"/>
  <c r="F267" i="3"/>
  <c r="F229" i="3"/>
  <c r="F217" i="3"/>
  <c r="F216" i="3"/>
  <c r="F201" i="3"/>
  <c r="F200" i="3"/>
  <c r="F185" i="3"/>
  <c r="F184" i="3"/>
  <c r="F177" i="3"/>
  <c r="F173" i="3"/>
  <c r="F169" i="3"/>
  <c r="F168" i="3"/>
  <c r="F259" i="3"/>
  <c r="F113" i="3"/>
  <c r="F279" i="3"/>
  <c r="F264" i="3"/>
  <c r="F260" i="3"/>
  <c r="F252" i="3"/>
  <c r="F241" i="3"/>
  <c r="F224" i="3"/>
  <c r="F208" i="3"/>
  <c r="F207" i="3"/>
  <c r="F192" i="3"/>
  <c r="F164" i="3"/>
  <c r="F160" i="3"/>
  <c r="F137" i="3"/>
  <c r="F109" i="3"/>
  <c r="F235" i="3"/>
  <c r="F231" i="3"/>
  <c r="F230" i="3"/>
  <c r="F219" i="3"/>
  <c r="F218" i="3"/>
  <c r="F187" i="3"/>
  <c r="F186" i="3"/>
  <c r="F151" i="3"/>
  <c r="F147" i="3"/>
  <c r="F143" i="3"/>
  <c r="F139" i="3"/>
  <c r="F135" i="3"/>
  <c r="F131" i="3"/>
  <c r="F127" i="3"/>
  <c r="F123" i="3"/>
  <c r="F119" i="3"/>
  <c r="F115" i="3"/>
  <c r="F111" i="3"/>
  <c r="F107" i="3"/>
  <c r="F103" i="3"/>
  <c r="F102" i="3"/>
  <c r="F161" i="3"/>
  <c r="F154" i="3"/>
  <c r="F141" i="3"/>
  <c r="F275" i="3"/>
  <c r="F226" i="3"/>
  <c r="F225" i="3"/>
  <c r="F210" i="3"/>
  <c r="F209" i="3"/>
  <c r="F202" i="3"/>
  <c r="F194" i="3"/>
  <c r="F193" i="3"/>
  <c r="F178" i="3"/>
  <c r="F174" i="3"/>
  <c r="F170" i="3"/>
  <c r="F165" i="3"/>
  <c r="F197" i="3"/>
  <c r="F189" i="3"/>
  <c r="F149" i="3"/>
  <c r="F129" i="3"/>
  <c r="F121" i="3"/>
  <c r="F261" i="3"/>
  <c r="F247" i="3"/>
  <c r="F242" i="3"/>
  <c r="F237" i="3"/>
  <c r="F236" i="3"/>
  <c r="F221" i="3"/>
  <c r="F220" i="3"/>
  <c r="F280" i="3"/>
  <c r="F265" i="3"/>
  <c r="F232" i="3"/>
  <c r="F212" i="3"/>
  <c r="F211" i="3"/>
  <c r="F204" i="3"/>
  <c r="F203" i="3"/>
  <c r="F188" i="3"/>
  <c r="F180" i="3"/>
  <c r="F179" i="3"/>
  <c r="F152" i="3"/>
  <c r="F148" i="3"/>
  <c r="F144" i="3"/>
  <c r="F140" i="3"/>
  <c r="F136" i="3"/>
  <c r="F132" i="3"/>
  <c r="F128" i="3"/>
  <c r="F124" i="3"/>
  <c r="F120" i="3"/>
  <c r="F116" i="3"/>
  <c r="F112" i="3"/>
  <c r="F108" i="3"/>
  <c r="F104" i="3"/>
  <c r="F233" i="3"/>
  <c r="F205" i="3"/>
  <c r="F253" i="3"/>
  <c r="F227" i="3"/>
  <c r="F195" i="3"/>
  <c r="F175" i="3"/>
  <c r="F171" i="3"/>
  <c r="F117" i="3"/>
  <c r="F238" i="3"/>
  <c r="F222" i="3"/>
  <c r="F182" i="3"/>
  <c r="F181" i="3"/>
  <c r="F166" i="3"/>
  <c r="F162" i="3"/>
  <c r="F158" i="3"/>
  <c r="F157" i="3"/>
  <c r="F254" i="3"/>
  <c r="F243" i="3"/>
  <c r="F240" i="3"/>
  <c r="F239" i="3"/>
  <c r="F228" i="3"/>
  <c r="F176" i="3"/>
  <c r="F172" i="3"/>
  <c r="D154" i="3"/>
  <c r="L12" i="3"/>
  <c r="N12" i="3" s="1"/>
  <c r="F125" i="3"/>
  <c r="X18" i="49"/>
  <c r="P27" i="49"/>
  <c r="D27" i="49"/>
  <c r="L18" i="49"/>
  <c r="H27" i="47"/>
  <c r="N18" i="47"/>
  <c r="X18" i="31"/>
  <c r="P27" i="31"/>
  <c r="X18" i="29"/>
  <c r="P27" i="29"/>
  <c r="H27" i="28"/>
  <c r="N18" i="28"/>
  <c r="P27" i="20"/>
  <c r="X18" i="20"/>
  <c r="H27" i="14"/>
  <c r="N18" i="14"/>
  <c r="X18" i="5"/>
  <c r="P27" i="5"/>
  <c r="H27" i="8"/>
  <c r="N18" i="8"/>
  <c r="D28" i="93"/>
  <c r="L24" i="93"/>
  <c r="H84" i="83"/>
  <c r="T153" i="69"/>
  <c r="Z16" i="59"/>
  <c r="T71" i="59"/>
  <c r="Z16" i="61"/>
  <c r="T60" i="61"/>
  <c r="Z16" i="55"/>
  <c r="T33" i="55"/>
  <c r="H235" i="12"/>
  <c r="T27" i="99"/>
  <c r="Z18" i="99"/>
  <c r="L18" i="100"/>
  <c r="D27" i="100"/>
  <c r="X18" i="53"/>
  <c r="P27" i="53"/>
  <c r="H27" i="50"/>
  <c r="N18" i="50"/>
  <c r="X18" i="46"/>
  <c r="P27" i="46"/>
  <c r="T27" i="46"/>
  <c r="Z18" i="46"/>
  <c r="L18" i="43"/>
  <c r="D27" i="43"/>
  <c r="T27" i="47"/>
  <c r="Z18" i="47"/>
  <c r="L18" i="17"/>
  <c r="D27" i="17"/>
  <c r="L18" i="19"/>
  <c r="D27" i="19"/>
  <c r="T27" i="17"/>
  <c r="Z18" i="17"/>
  <c r="T27" i="8"/>
  <c r="Z18" i="8"/>
  <c r="L18" i="5"/>
  <c r="D27" i="5"/>
  <c r="T28" i="93"/>
  <c r="Z24" i="93"/>
  <c r="T74" i="74"/>
  <c r="P59" i="60"/>
  <c r="X16" i="60"/>
  <c r="F23" i="94"/>
  <c r="D58" i="91"/>
  <c r="L16" i="91"/>
  <c r="P28" i="87"/>
  <c r="X18" i="87"/>
  <c r="R18" i="87"/>
  <c r="P99" i="85"/>
  <c r="X23" i="85"/>
  <c r="Z23" i="85" s="1"/>
  <c r="L16" i="80"/>
  <c r="D32" i="80"/>
  <c r="T82" i="82"/>
  <c r="H122" i="77"/>
  <c r="D90" i="76"/>
  <c r="L21" i="76"/>
  <c r="N21" i="76" s="1"/>
  <c r="V49" i="71"/>
  <c r="T108" i="71"/>
  <c r="H53" i="75"/>
  <c r="F60" i="73"/>
  <c r="F59" i="73"/>
  <c r="F75" i="73"/>
  <c r="F74" i="73"/>
  <c r="F67" i="73"/>
  <c r="F57" i="73"/>
  <c r="F56" i="73"/>
  <c r="F45" i="73"/>
  <c r="F41" i="73"/>
  <c r="F37" i="73"/>
  <c r="F81" i="73"/>
  <c r="F55" i="73"/>
  <c r="L12" i="73"/>
  <c r="N12" i="73" s="1"/>
  <c r="F38" i="73"/>
  <c r="F33" i="73"/>
  <c r="F29" i="73"/>
  <c r="F50" i="73"/>
  <c r="F20" i="73"/>
  <c r="F71" i="73"/>
  <c r="F64" i="73"/>
  <c r="F51" i="73"/>
  <c r="F42" i="73"/>
  <c r="F39" i="73"/>
  <c r="F34" i="73"/>
  <c r="F30" i="73"/>
  <c r="F26" i="73"/>
  <c r="F25" i="73"/>
  <c r="F83" i="73"/>
  <c r="F77" i="73"/>
  <c r="F72" i="73"/>
  <c r="F61" i="73"/>
  <c r="F24" i="73"/>
  <c r="F22" i="73"/>
  <c r="F52" i="73"/>
  <c r="F46" i="73"/>
  <c r="F36" i="73"/>
  <c r="F35" i="73"/>
  <c r="D22" i="73"/>
  <c r="F73" i="73"/>
  <c r="F68" i="73"/>
  <c r="F65" i="73"/>
  <c r="F43" i="73"/>
  <c r="F31" i="73"/>
  <c r="F27" i="73"/>
  <c r="F79" i="73"/>
  <c r="F62" i="73"/>
  <c r="F58" i="73"/>
  <c r="F53" i="73"/>
  <c r="F47" i="73"/>
  <c r="F40" i="73"/>
  <c r="F18" i="73"/>
  <c r="F17" i="73"/>
  <c r="F86" i="73"/>
  <c r="F70" i="73"/>
  <c r="F54" i="73"/>
  <c r="F49" i="73"/>
  <c r="F44" i="73"/>
  <c r="F19" i="73"/>
  <c r="F28" i="73"/>
  <c r="F63" i="73"/>
  <c r="F32" i="73"/>
  <c r="F48" i="73"/>
  <c r="F66" i="73"/>
  <c r="F69" i="73"/>
  <c r="D70" i="65"/>
  <c r="L66" i="65"/>
  <c r="X49" i="71"/>
  <c r="Z49" i="71" s="1"/>
  <c r="P108" i="71"/>
  <c r="X77" i="69"/>
  <c r="Z77" i="69" s="1"/>
  <c r="P153" i="69"/>
  <c r="H123" i="66"/>
  <c r="J119" i="66"/>
  <c r="L16" i="60"/>
  <c r="D59" i="60"/>
  <c r="F114" i="66"/>
  <c r="H76" i="58"/>
  <c r="N16" i="58"/>
  <c r="D103" i="62"/>
  <c r="L17" i="62"/>
  <c r="T108" i="51"/>
  <c r="V49" i="51"/>
  <c r="R130" i="39"/>
  <c r="R96" i="39"/>
  <c r="R84" i="39"/>
  <c r="R77" i="39"/>
  <c r="R76" i="39"/>
  <c r="R52" i="39"/>
  <c r="R48" i="39"/>
  <c r="R111" i="39"/>
  <c r="R91" i="39"/>
  <c r="R68" i="39"/>
  <c r="R67" i="39"/>
  <c r="R60" i="39"/>
  <c r="R59" i="39"/>
  <c r="R43" i="39"/>
  <c r="R39" i="39"/>
  <c r="R119" i="39"/>
  <c r="R118" i="39"/>
  <c r="R106" i="39"/>
  <c r="R102" i="39"/>
  <c r="R79" i="39"/>
  <c r="R78" i="39"/>
  <c r="R35" i="39"/>
  <c r="R98" i="39"/>
  <c r="R97" i="39"/>
  <c r="R86" i="39"/>
  <c r="R85" i="39"/>
  <c r="R123" i="39"/>
  <c r="R122" i="39"/>
  <c r="R107" i="39"/>
  <c r="R103" i="39"/>
  <c r="R99" i="39"/>
  <c r="R87" i="39"/>
  <c r="R71" i="39"/>
  <c r="R63" i="39"/>
  <c r="R124" i="39"/>
  <c r="R115" i="39"/>
  <c r="R114" i="39"/>
  <c r="R82" i="39"/>
  <c r="R54" i="39"/>
  <c r="R50" i="39"/>
  <c r="R46" i="39"/>
  <c r="R27" i="39"/>
  <c r="R125" i="39"/>
  <c r="R93" i="39"/>
  <c r="R41" i="39"/>
  <c r="R37" i="39"/>
  <c r="R126" i="39"/>
  <c r="R116" i="39"/>
  <c r="R108" i="39"/>
  <c r="R104" i="39"/>
  <c r="R100" i="39"/>
  <c r="R89" i="39"/>
  <c r="R88" i="39"/>
  <c r="R73" i="39"/>
  <c r="R72" i="39"/>
  <c r="R64" i="39"/>
  <c r="R83" i="39"/>
  <c r="R117" i="39"/>
  <c r="R110" i="39"/>
  <c r="R109" i="39"/>
  <c r="R105" i="39"/>
  <c r="R101" i="39"/>
  <c r="R66" i="39"/>
  <c r="R65" i="39"/>
  <c r="R58" i="39"/>
  <c r="R57" i="39"/>
  <c r="R29" i="39"/>
  <c r="R94" i="39"/>
  <c r="R69" i="39"/>
  <c r="R113" i="39"/>
  <c r="R36" i="39"/>
  <c r="R34" i="39"/>
  <c r="R80" i="39"/>
  <c r="R61" i="39"/>
  <c r="R44" i="39"/>
  <c r="R42" i="39"/>
  <c r="R40" i="39"/>
  <c r="R38" i="39"/>
  <c r="R30" i="39"/>
  <c r="R74" i="39"/>
  <c r="R95" i="39"/>
  <c r="R70" i="39"/>
  <c r="R28" i="39"/>
  <c r="R55" i="39"/>
  <c r="R53" i="39"/>
  <c r="R51" i="39"/>
  <c r="R49" i="39"/>
  <c r="R47" i="39"/>
  <c r="R45" i="39"/>
  <c r="X12" i="39"/>
  <c r="Z12" i="39" s="1"/>
  <c r="R120" i="39"/>
  <c r="R81" i="39"/>
  <c r="R75" i="39"/>
  <c r="R62" i="39"/>
  <c r="R112" i="39"/>
  <c r="P32" i="39"/>
  <c r="R56" i="39"/>
  <c r="R90" i="39"/>
  <c r="R92" i="39"/>
  <c r="T128" i="42"/>
  <c r="T86" i="33"/>
  <c r="F117" i="27"/>
  <c r="F115" i="27"/>
  <c r="F106" i="27"/>
  <c r="F57" i="27"/>
  <c r="F50" i="27"/>
  <c r="F46" i="27"/>
  <c r="F42" i="27"/>
  <c r="F38" i="27"/>
  <c r="F37" i="27"/>
  <c r="L12" i="27"/>
  <c r="N12" i="27" s="1"/>
  <c r="F118" i="27"/>
  <c r="F101" i="27"/>
  <c r="F100" i="27"/>
  <c r="F93" i="27"/>
  <c r="F92" i="27"/>
  <c r="F77" i="27"/>
  <c r="F73" i="27"/>
  <c r="D55" i="27"/>
  <c r="F108" i="27"/>
  <c r="F107" i="27"/>
  <c r="F84" i="27"/>
  <c r="F68" i="27"/>
  <c r="F64" i="27"/>
  <c r="F60" i="27"/>
  <c r="F51" i="27"/>
  <c r="F47" i="27"/>
  <c r="F43" i="27"/>
  <c r="F39" i="27"/>
  <c r="F122" i="27"/>
  <c r="F102" i="27"/>
  <c r="F94" i="27"/>
  <c r="F86" i="27"/>
  <c r="F85" i="27"/>
  <c r="F78" i="27"/>
  <c r="F74" i="27"/>
  <c r="F70" i="27"/>
  <c r="F69" i="27"/>
  <c r="F104" i="27"/>
  <c r="F103" i="27"/>
  <c r="F96" i="27"/>
  <c r="F95" i="27"/>
  <c r="F88" i="27"/>
  <c r="F87" i="27"/>
  <c r="F111" i="27"/>
  <c r="F110" i="27"/>
  <c r="F79" i="27"/>
  <c r="F75" i="27"/>
  <c r="F71" i="27"/>
  <c r="F98" i="27"/>
  <c r="F97" i="27"/>
  <c r="F90" i="27"/>
  <c r="F89" i="27"/>
  <c r="F66" i="27"/>
  <c r="F62" i="27"/>
  <c r="F116" i="27"/>
  <c r="F99" i="27"/>
  <c r="F91" i="27"/>
  <c r="F83" i="27"/>
  <c r="F82" i="27"/>
  <c r="F67" i="27"/>
  <c r="F63" i="27"/>
  <c r="F59" i="27"/>
  <c r="F58" i="27"/>
  <c r="F48" i="27"/>
  <c r="F44" i="27"/>
  <c r="F112" i="27"/>
  <c r="F80" i="27"/>
  <c r="F40" i="27"/>
  <c r="F76" i="27"/>
  <c r="F53" i="27"/>
  <c r="F72" i="27"/>
  <c r="F61" i="27"/>
  <c r="F49" i="27"/>
  <c r="F45" i="27"/>
  <c r="F65" i="27"/>
  <c r="F41" i="27"/>
  <c r="F113" i="27"/>
  <c r="F81" i="27"/>
  <c r="F109" i="27"/>
  <c r="F52" i="27"/>
  <c r="F105" i="27"/>
  <c r="H253" i="18"/>
  <c r="L144" i="18"/>
  <c r="N144" i="18" s="1"/>
  <c r="D253" i="18"/>
  <c r="Z16" i="6"/>
  <c r="T22" i="6"/>
  <c r="F233" i="12"/>
  <c r="F200" i="12"/>
  <c r="F164" i="12"/>
  <c r="F148" i="12"/>
  <c r="F144" i="12"/>
  <c r="F140" i="12"/>
  <c r="F223" i="12"/>
  <c r="F215" i="12"/>
  <c r="F211" i="12"/>
  <c r="F207" i="12"/>
  <c r="F206" i="12"/>
  <c r="F195" i="12"/>
  <c r="F135" i="12"/>
  <c r="F131" i="12"/>
  <c r="F190" i="12"/>
  <c r="F182" i="12"/>
  <c r="F174" i="12"/>
  <c r="F166" i="12"/>
  <c r="F165" i="12"/>
  <c r="F158" i="12"/>
  <c r="F150" i="12"/>
  <c r="F149" i="12"/>
  <c r="F122" i="12"/>
  <c r="F118" i="12"/>
  <c r="F114" i="12"/>
  <c r="F110" i="12"/>
  <c r="F106" i="12"/>
  <c r="F102" i="12"/>
  <c r="F98" i="12"/>
  <c r="F94" i="12"/>
  <c r="F90" i="12"/>
  <c r="F86" i="12"/>
  <c r="F82" i="12"/>
  <c r="F81" i="12"/>
  <c r="F237" i="12"/>
  <c r="F217" i="12"/>
  <c r="F216" i="12"/>
  <c r="F201" i="12"/>
  <c r="F145" i="12"/>
  <c r="F141" i="12"/>
  <c r="F224" i="12"/>
  <c r="F212" i="12"/>
  <c r="F208" i="12"/>
  <c r="F196" i="12"/>
  <c r="F184" i="12"/>
  <c r="F183" i="12"/>
  <c r="F168" i="12"/>
  <c r="F167" i="12"/>
  <c r="F160" i="12"/>
  <c r="F159" i="12"/>
  <c r="F152" i="12"/>
  <c r="F151" i="12"/>
  <c r="F136" i="12"/>
  <c r="F132" i="12"/>
  <c r="F128" i="12"/>
  <c r="F127" i="12"/>
  <c r="F191" i="12"/>
  <c r="F175" i="12"/>
  <c r="F126" i="12"/>
  <c r="F119" i="12"/>
  <c r="F115" i="12"/>
  <c r="F111" i="12"/>
  <c r="F107" i="12"/>
  <c r="F103" i="12"/>
  <c r="F99" i="12"/>
  <c r="F95" i="12"/>
  <c r="F91" i="12"/>
  <c r="F87" i="12"/>
  <c r="F83" i="12"/>
  <c r="F226" i="12"/>
  <c r="F225" i="12"/>
  <c r="F218" i="12"/>
  <c r="F202" i="12"/>
  <c r="F198" i="12"/>
  <c r="F197" i="12"/>
  <c r="F186" i="12"/>
  <c r="F185" i="12"/>
  <c r="F170" i="12"/>
  <c r="F169" i="12"/>
  <c r="F146" i="12"/>
  <c r="F142" i="12"/>
  <c r="D124" i="12"/>
  <c r="F124" i="12" s="1"/>
  <c r="F213" i="12"/>
  <c r="F209" i="12"/>
  <c r="F193" i="12"/>
  <c r="F192" i="12"/>
  <c r="F177" i="12"/>
  <c r="F176" i="12"/>
  <c r="F161" i="12"/>
  <c r="F153" i="12"/>
  <c r="F137" i="12"/>
  <c r="F133" i="12"/>
  <c r="F129" i="12"/>
  <c r="F229" i="12"/>
  <c r="F220" i="12"/>
  <c r="F219" i="12"/>
  <c r="F204" i="12"/>
  <c r="F203" i="12"/>
  <c r="F188" i="12"/>
  <c r="F187" i="12"/>
  <c r="F120" i="12"/>
  <c r="F116" i="12"/>
  <c r="F112" i="12"/>
  <c r="F108" i="12"/>
  <c r="F104" i="12"/>
  <c r="F100" i="12"/>
  <c r="F96" i="12"/>
  <c r="F92" i="12"/>
  <c r="F88" i="12"/>
  <c r="F84" i="12"/>
  <c r="F230" i="12"/>
  <c r="F228" i="12"/>
  <c r="F199" i="12"/>
  <c r="F179" i="12"/>
  <c r="F178" i="12"/>
  <c r="F171" i="12"/>
  <c r="F163" i="12"/>
  <c r="F162" i="12"/>
  <c r="F155" i="12"/>
  <c r="F154" i="12"/>
  <c r="F147" i="12"/>
  <c r="F143" i="12"/>
  <c r="F139" i="12"/>
  <c r="F138" i="12"/>
  <c r="F232" i="12"/>
  <c r="F205" i="12"/>
  <c r="F189" i="12"/>
  <c r="F181" i="12"/>
  <c r="F180" i="12"/>
  <c r="F173" i="12"/>
  <c r="F172" i="12"/>
  <c r="F157" i="12"/>
  <c r="F156" i="12"/>
  <c r="F121" i="12"/>
  <c r="F117" i="12"/>
  <c r="F113" i="12"/>
  <c r="F109" i="12"/>
  <c r="F105" i="12"/>
  <c r="F101" i="12"/>
  <c r="F97" i="12"/>
  <c r="F93" i="12"/>
  <c r="F89" i="12"/>
  <c r="F85" i="12"/>
  <c r="F210" i="12"/>
  <c r="F231" i="12"/>
  <c r="F134" i="12"/>
  <c r="F221" i="12"/>
  <c r="F194" i="12"/>
  <c r="L12" i="12"/>
  <c r="N12" i="12" s="1"/>
  <c r="F222" i="12"/>
  <c r="F214" i="12"/>
  <c r="F130" i="12"/>
  <c r="P273" i="3"/>
  <c r="X154" i="3"/>
  <c r="Z154" i="3" s="1"/>
  <c r="H27" i="100"/>
  <c r="N18" i="100"/>
  <c r="H27" i="98"/>
  <c r="N18" i="98"/>
  <c r="N18" i="99"/>
  <c r="H27" i="99"/>
  <c r="P27" i="47"/>
  <c r="X18" i="47"/>
  <c r="L18" i="46"/>
  <c r="D27" i="46"/>
  <c r="X18" i="43"/>
  <c r="P27" i="43"/>
  <c r="T27" i="38"/>
  <c r="Z18" i="38"/>
  <c r="X18" i="19"/>
  <c r="P27" i="19"/>
  <c r="L18" i="25"/>
  <c r="D27" i="25"/>
  <c r="L18" i="16"/>
  <c r="D27" i="16"/>
  <c r="H27" i="10"/>
  <c r="N18" i="10"/>
  <c r="L18" i="13"/>
  <c r="D27" i="13"/>
  <c r="T27" i="4"/>
  <c r="Z18" i="4"/>
  <c r="T27" i="14"/>
  <c r="Z18" i="14"/>
  <c r="H27" i="11"/>
  <c r="N18" i="11"/>
  <c r="L18" i="98"/>
  <c r="D27" i="98"/>
  <c r="N16" i="63"/>
  <c r="H63" i="63"/>
  <c r="H70" i="65"/>
  <c r="N66" i="65"/>
  <c r="D76" i="58"/>
  <c r="L16" i="58"/>
  <c r="H28" i="96"/>
  <c r="N24" i="96"/>
  <c r="H75" i="97"/>
  <c r="T98" i="94"/>
  <c r="Z23" i="94"/>
  <c r="V23" i="94"/>
  <c r="H98" i="94"/>
  <c r="N23" i="94"/>
  <c r="H91" i="92"/>
  <c r="P58" i="91"/>
  <c r="X16" i="91"/>
  <c r="D34" i="89"/>
  <c r="N21" i="84"/>
  <c r="H79" i="84"/>
  <c r="T87" i="83"/>
  <c r="H87" i="81"/>
  <c r="N16" i="81"/>
  <c r="H36" i="80"/>
  <c r="F20" i="78"/>
  <c r="H83" i="73"/>
  <c r="R59" i="65"/>
  <c r="R27" i="65"/>
  <c r="R23" i="65"/>
  <c r="R43" i="65"/>
  <c r="R42" i="65"/>
  <c r="R54" i="65"/>
  <c r="R53" i="65"/>
  <c r="R37" i="65"/>
  <c r="R33" i="65"/>
  <c r="R55" i="65"/>
  <c r="R62" i="65"/>
  <c r="R47" i="65"/>
  <c r="R46" i="65"/>
  <c r="R38" i="65"/>
  <c r="R34" i="65"/>
  <c r="R15" i="65"/>
  <c r="R66" i="65"/>
  <c r="R64" i="65"/>
  <c r="R30" i="65"/>
  <c r="R29" i="65"/>
  <c r="R25" i="65"/>
  <c r="R52" i="65"/>
  <c r="R41" i="65"/>
  <c r="R40" i="65"/>
  <c r="R36" i="65"/>
  <c r="R32" i="65"/>
  <c r="R70" i="65"/>
  <c r="R31" i="65"/>
  <c r="X12" i="65"/>
  <c r="Z12" i="65" s="1"/>
  <c r="R60" i="65"/>
  <c r="R44" i="65"/>
  <c r="R26" i="65"/>
  <c r="R20" i="65"/>
  <c r="R50" i="65"/>
  <c r="R68" i="65"/>
  <c r="R58" i="65"/>
  <c r="R24" i="65"/>
  <c r="R21" i="65"/>
  <c r="R16" i="65"/>
  <c r="R61" i="65"/>
  <c r="R51" i="65"/>
  <c r="R45" i="65"/>
  <c r="R39" i="65"/>
  <c r="R73" i="65"/>
  <c r="R48" i="65"/>
  <c r="R56" i="65"/>
  <c r="R35" i="65"/>
  <c r="R22" i="65"/>
  <c r="R57" i="65"/>
  <c r="R28" i="65"/>
  <c r="P18" i="65"/>
  <c r="R49" i="65"/>
  <c r="R18" i="65"/>
  <c r="H92" i="64"/>
  <c r="J35" i="64"/>
  <c r="R85" i="64"/>
  <c r="R88" i="64"/>
  <c r="R79" i="64"/>
  <c r="R78" i="64"/>
  <c r="R71" i="64"/>
  <c r="R70" i="64"/>
  <c r="R69" i="64"/>
  <c r="R54" i="64"/>
  <c r="R50" i="64"/>
  <c r="R84" i="64"/>
  <c r="R74" i="64"/>
  <c r="R62" i="64"/>
  <c r="R61" i="64"/>
  <c r="R45" i="64"/>
  <c r="R41" i="64"/>
  <c r="R94" i="64"/>
  <c r="R32" i="64"/>
  <c r="R28" i="64"/>
  <c r="R81" i="64"/>
  <c r="R64" i="64"/>
  <c r="R63" i="64"/>
  <c r="R55" i="64"/>
  <c r="R51" i="64"/>
  <c r="R75" i="64"/>
  <c r="R47" i="64"/>
  <c r="R46" i="64"/>
  <c r="R42" i="64"/>
  <c r="R76" i="64"/>
  <c r="R65" i="64"/>
  <c r="R38" i="64"/>
  <c r="R33" i="64"/>
  <c r="R29" i="64"/>
  <c r="R90" i="64"/>
  <c r="R56" i="64"/>
  <c r="R52" i="64"/>
  <c r="R48" i="64"/>
  <c r="R37" i="64"/>
  <c r="R25" i="64"/>
  <c r="R82" i="64"/>
  <c r="R43" i="64"/>
  <c r="R39" i="64"/>
  <c r="P35" i="64"/>
  <c r="R35" i="64" s="1"/>
  <c r="R86" i="64"/>
  <c r="R66" i="64"/>
  <c r="R30" i="64"/>
  <c r="R26" i="64"/>
  <c r="X12" i="64"/>
  <c r="Z12" i="64" s="1"/>
  <c r="R72" i="64"/>
  <c r="R67" i="64"/>
  <c r="R58" i="64"/>
  <c r="R57" i="64"/>
  <c r="R53" i="64"/>
  <c r="R49" i="64"/>
  <c r="R83" i="64"/>
  <c r="R80" i="64"/>
  <c r="R68" i="64"/>
  <c r="R60" i="64"/>
  <c r="R59" i="64"/>
  <c r="R31" i="64"/>
  <c r="R27" i="64"/>
  <c r="R40" i="64"/>
  <c r="R44" i="64"/>
  <c r="R87" i="64"/>
  <c r="R77" i="64"/>
  <c r="R73" i="64"/>
  <c r="F92" i="64"/>
  <c r="F90" i="64"/>
  <c r="F77" i="64"/>
  <c r="F83" i="64"/>
  <c r="F80" i="64"/>
  <c r="F79" i="64"/>
  <c r="F72" i="64"/>
  <c r="F71" i="64"/>
  <c r="F82" i="64"/>
  <c r="F86" i="64"/>
  <c r="F66" i="64"/>
  <c r="F37" i="64"/>
  <c r="F35" i="64"/>
  <c r="F30" i="64"/>
  <c r="F26" i="64"/>
  <c r="F25" i="64"/>
  <c r="L12" i="64"/>
  <c r="N12" i="64" s="1"/>
  <c r="F57" i="64"/>
  <c r="F53" i="64"/>
  <c r="F49" i="64"/>
  <c r="D35" i="64"/>
  <c r="F99" i="64"/>
  <c r="F67" i="64"/>
  <c r="F44" i="64"/>
  <c r="F40" i="64"/>
  <c r="F87" i="64"/>
  <c r="F73" i="64"/>
  <c r="F68" i="64"/>
  <c r="F59" i="64"/>
  <c r="F58" i="64"/>
  <c r="F31" i="64"/>
  <c r="F27" i="64"/>
  <c r="F54" i="64"/>
  <c r="F50" i="64"/>
  <c r="F94" i="64"/>
  <c r="F84" i="64"/>
  <c r="F78" i="64"/>
  <c r="F74" i="64"/>
  <c r="F69" i="64"/>
  <c r="F61" i="64"/>
  <c r="F60" i="64"/>
  <c r="F45" i="64"/>
  <c r="F41" i="64"/>
  <c r="F88" i="64"/>
  <c r="F32" i="64"/>
  <c r="F28" i="64"/>
  <c r="F85" i="64"/>
  <c r="F81" i="64"/>
  <c r="F70" i="64"/>
  <c r="F63" i="64"/>
  <c r="F62" i="64"/>
  <c r="F55" i="64"/>
  <c r="F51" i="64"/>
  <c r="F75" i="64"/>
  <c r="F46" i="64"/>
  <c r="F42" i="64"/>
  <c r="F65" i="64"/>
  <c r="F64" i="64"/>
  <c r="F33" i="64"/>
  <c r="F29" i="64"/>
  <c r="F76" i="64"/>
  <c r="F43" i="64"/>
  <c r="F39" i="64"/>
  <c r="F38" i="64"/>
  <c r="F47" i="64"/>
  <c r="F56" i="64"/>
  <c r="F48" i="64"/>
  <c r="F52" i="64"/>
  <c r="F96" i="64"/>
  <c r="L16" i="59"/>
  <c r="D71" i="59"/>
  <c r="L17" i="57"/>
  <c r="D74" i="57"/>
  <c r="H108" i="51"/>
  <c r="X28" i="36"/>
  <c r="P128" i="36"/>
  <c r="V27" i="21"/>
  <c r="Z17" i="9"/>
  <c r="T103" i="9"/>
  <c r="T273" i="3"/>
  <c r="L17" i="9"/>
  <c r="D103" i="9"/>
  <c r="R154" i="3"/>
  <c r="X18" i="99"/>
  <c r="P27" i="99"/>
  <c r="H27" i="52"/>
  <c r="N18" i="52"/>
  <c r="P27" i="38"/>
  <c r="X18" i="38"/>
  <c r="D27" i="32"/>
  <c r="L18" i="32"/>
  <c r="H27" i="31"/>
  <c r="N18" i="31"/>
  <c r="L18" i="34"/>
  <c r="D27" i="34"/>
  <c r="H27" i="23"/>
  <c r="N18" i="23"/>
  <c r="H27" i="22"/>
  <c r="N18" i="22"/>
  <c r="T27" i="26"/>
  <c r="Z18" i="26"/>
  <c r="H30" i="89"/>
  <c r="L30" i="89" s="1"/>
  <c r="N16" i="89"/>
  <c r="D64" i="61"/>
  <c r="N17" i="90"/>
  <c r="H40" i="90"/>
  <c r="F80" i="83"/>
  <c r="F78" i="83"/>
  <c r="F61" i="83"/>
  <c r="F60" i="83"/>
  <c r="F29" i="83"/>
  <c r="F25" i="83"/>
  <c r="F82" i="83"/>
  <c r="F56" i="83"/>
  <c r="F55" i="83"/>
  <c r="F44" i="83"/>
  <c r="F43" i="83"/>
  <c r="L12" i="83"/>
  <c r="F71" i="83"/>
  <c r="F67" i="83"/>
  <c r="F39" i="83"/>
  <c r="F35" i="83"/>
  <c r="F62" i="83"/>
  <c r="F46" i="83"/>
  <c r="F45" i="83"/>
  <c r="F30" i="83"/>
  <c r="F26" i="83"/>
  <c r="F87" i="83"/>
  <c r="F84" i="83"/>
  <c r="F73" i="83"/>
  <c r="F72" i="83"/>
  <c r="F57" i="83"/>
  <c r="F17" i="83"/>
  <c r="F16" i="83"/>
  <c r="F68" i="83"/>
  <c r="F64" i="83"/>
  <c r="F63" i="83"/>
  <c r="F48" i="83"/>
  <c r="F47" i="83"/>
  <c r="F40" i="83"/>
  <c r="F36" i="83"/>
  <c r="F31" i="83"/>
  <c r="F27" i="83"/>
  <c r="F23" i="83"/>
  <c r="F22" i="83"/>
  <c r="F74" i="83"/>
  <c r="F58" i="83"/>
  <c r="F50" i="83"/>
  <c r="F49" i="83"/>
  <c r="F21" i="83"/>
  <c r="F19" i="83"/>
  <c r="F69" i="83"/>
  <c r="F65" i="83"/>
  <c r="F41" i="83"/>
  <c r="F37" i="83"/>
  <c r="F33" i="83"/>
  <c r="F32" i="83"/>
  <c r="F70" i="83"/>
  <c r="F66" i="83"/>
  <c r="F54" i="83"/>
  <c r="F53" i="83"/>
  <c r="F42" i="83"/>
  <c r="F38" i="83"/>
  <c r="F34" i="83"/>
  <c r="F52" i="83"/>
  <c r="F76" i="83"/>
  <c r="F59" i="83"/>
  <c r="F51" i="83"/>
  <c r="F28" i="83"/>
  <c r="F24" i="83"/>
  <c r="F75" i="83"/>
  <c r="D19" i="83"/>
  <c r="T30" i="89"/>
  <c r="Z16" i="89"/>
  <c r="T44" i="90"/>
  <c r="P56" i="88"/>
  <c r="X16" i="88"/>
  <c r="H93" i="86"/>
  <c r="F80" i="82"/>
  <c r="F85" i="82"/>
  <c r="F74" i="82"/>
  <c r="F73" i="82"/>
  <c r="F62" i="82"/>
  <c r="F46" i="82"/>
  <c r="F45" i="82"/>
  <c r="F38" i="82"/>
  <c r="F34" i="82"/>
  <c r="F29" i="82"/>
  <c r="F25" i="82"/>
  <c r="F68" i="82"/>
  <c r="F56" i="82"/>
  <c r="F16" i="82"/>
  <c r="F15" i="82"/>
  <c r="F78" i="82"/>
  <c r="F76" i="82"/>
  <c r="F63" i="82"/>
  <c r="F47" i="82"/>
  <c r="F39" i="82"/>
  <c r="F35" i="82"/>
  <c r="F31" i="82"/>
  <c r="F30" i="82"/>
  <c r="F58" i="82"/>
  <c r="F57" i="82"/>
  <c r="F26" i="82"/>
  <c r="F22" i="82"/>
  <c r="F21" i="82"/>
  <c r="L12" i="82"/>
  <c r="F69" i="82"/>
  <c r="F65" i="82"/>
  <c r="F64" i="82"/>
  <c r="F49" i="82"/>
  <c r="F48" i="82"/>
  <c r="F20" i="82"/>
  <c r="F18" i="82"/>
  <c r="F60" i="82"/>
  <c r="F59" i="82"/>
  <c r="F40" i="82"/>
  <c r="F36" i="82"/>
  <c r="F32" i="82"/>
  <c r="D18" i="82"/>
  <c r="F71" i="82"/>
  <c r="F70" i="82"/>
  <c r="F51" i="82"/>
  <c r="F50" i="82"/>
  <c r="F27" i="82"/>
  <c r="F23" i="82"/>
  <c r="F66" i="82"/>
  <c r="F42" i="82"/>
  <c r="F41" i="82"/>
  <c r="F67" i="82"/>
  <c r="F55" i="82"/>
  <c r="F54" i="82"/>
  <c r="F72" i="82"/>
  <c r="F52" i="82"/>
  <c r="F28" i="82"/>
  <c r="F24" i="82"/>
  <c r="F82" i="82"/>
  <c r="F44" i="82"/>
  <c r="F33" i="82"/>
  <c r="F61" i="82"/>
  <c r="F43" i="82"/>
  <c r="F37" i="82"/>
  <c r="F53" i="82"/>
  <c r="X18" i="82"/>
  <c r="P78" i="82"/>
  <c r="X16" i="80"/>
  <c r="P32" i="80"/>
  <c r="T126" i="77"/>
  <c r="V30" i="78"/>
  <c r="Z23" i="67"/>
  <c r="T74" i="67"/>
  <c r="T63" i="63"/>
  <c r="Z16" i="63"/>
  <c r="T83" i="73"/>
  <c r="N17" i="62"/>
  <c r="H103" i="62"/>
  <c r="Z17" i="57"/>
  <c r="T74" i="57"/>
  <c r="Z22" i="54"/>
  <c r="T26" i="54"/>
  <c r="R110" i="42"/>
  <c r="R103" i="42"/>
  <c r="R102" i="42"/>
  <c r="R98" i="42"/>
  <c r="R113" i="42"/>
  <c r="R106" i="42"/>
  <c r="R105" i="42"/>
  <c r="R116" i="42"/>
  <c r="R115" i="42"/>
  <c r="R100" i="42"/>
  <c r="R96" i="42"/>
  <c r="R119" i="42"/>
  <c r="R112" i="42"/>
  <c r="R93" i="42"/>
  <c r="R82" i="42"/>
  <c r="R81" i="42"/>
  <c r="R66" i="42"/>
  <c r="R65" i="42"/>
  <c r="R57" i="42"/>
  <c r="R109" i="42"/>
  <c r="R76" i="42"/>
  <c r="R48" i="42"/>
  <c r="R44" i="42"/>
  <c r="R40" i="42"/>
  <c r="R21" i="42"/>
  <c r="R97" i="42"/>
  <c r="R88" i="42"/>
  <c r="R87" i="42"/>
  <c r="R83" i="42"/>
  <c r="R68" i="42"/>
  <c r="R67" i="42"/>
  <c r="R35" i="42"/>
  <c r="R31" i="42"/>
  <c r="R117" i="42"/>
  <c r="R94" i="42"/>
  <c r="R58" i="42"/>
  <c r="R22" i="42"/>
  <c r="R89" i="42"/>
  <c r="R77" i="42"/>
  <c r="R70" i="42"/>
  <c r="R69" i="42"/>
  <c r="R50" i="42"/>
  <c r="R49" i="42"/>
  <c r="R45" i="42"/>
  <c r="R41" i="42"/>
  <c r="R84" i="42"/>
  <c r="R36" i="42"/>
  <c r="R32" i="42"/>
  <c r="R72" i="42"/>
  <c r="R71" i="42"/>
  <c r="R60" i="42"/>
  <c r="R59" i="42"/>
  <c r="R52" i="42"/>
  <c r="R51" i="42"/>
  <c r="R23" i="42"/>
  <c r="R107" i="42"/>
  <c r="R95" i="42"/>
  <c r="R91" i="42"/>
  <c r="R90" i="42"/>
  <c r="R79" i="42"/>
  <c r="R78" i="42"/>
  <c r="R46" i="42"/>
  <c r="R42" i="42"/>
  <c r="R118" i="42"/>
  <c r="R104" i="42"/>
  <c r="R101" i="42"/>
  <c r="R85" i="42"/>
  <c r="R74" i="42"/>
  <c r="R73" i="42"/>
  <c r="R62" i="42"/>
  <c r="R61" i="42"/>
  <c r="R54" i="42"/>
  <c r="R53" i="42"/>
  <c r="R37" i="42"/>
  <c r="R33" i="42"/>
  <c r="R123" i="42"/>
  <c r="R108" i="42"/>
  <c r="R92" i="42"/>
  <c r="R80" i="42"/>
  <c r="R29" i="42"/>
  <c r="R24" i="42"/>
  <c r="R99" i="42"/>
  <c r="R86" i="42"/>
  <c r="R39" i="42"/>
  <c r="R38" i="42"/>
  <c r="R34" i="42"/>
  <c r="R30" i="42"/>
  <c r="P26" i="42"/>
  <c r="R26" i="42" s="1"/>
  <c r="X12" i="42"/>
  <c r="Z12" i="42" s="1"/>
  <c r="R28" i="42"/>
  <c r="R111" i="42"/>
  <c r="R75" i="42"/>
  <c r="R55" i="42"/>
  <c r="R43" i="42"/>
  <c r="R63" i="42"/>
  <c r="R47" i="42"/>
  <c r="R56" i="42"/>
  <c r="R64" i="42"/>
  <c r="V32" i="39"/>
  <c r="R28" i="36"/>
  <c r="H96" i="24"/>
  <c r="R225" i="12"/>
  <c r="R224" i="12"/>
  <c r="R212" i="12"/>
  <c r="R208" i="12"/>
  <c r="R197" i="12"/>
  <c r="R196" i="12"/>
  <c r="R185" i="12"/>
  <c r="R184" i="12"/>
  <c r="R169" i="12"/>
  <c r="R168" i="12"/>
  <c r="R160" i="12"/>
  <c r="R152" i="12"/>
  <c r="R136" i="12"/>
  <c r="R132" i="12"/>
  <c r="R128" i="12"/>
  <c r="P124" i="12"/>
  <c r="R192" i="12"/>
  <c r="R191" i="12"/>
  <c r="R176" i="12"/>
  <c r="R175" i="12"/>
  <c r="R119" i="12"/>
  <c r="R115" i="12"/>
  <c r="R111" i="12"/>
  <c r="R107" i="12"/>
  <c r="R103" i="12"/>
  <c r="R99" i="12"/>
  <c r="R95" i="12"/>
  <c r="R91" i="12"/>
  <c r="R87" i="12"/>
  <c r="R83" i="12"/>
  <c r="R226" i="12"/>
  <c r="R219" i="12"/>
  <c r="R218" i="12"/>
  <c r="R203" i="12"/>
  <c r="R202" i="12"/>
  <c r="R198" i="12"/>
  <c r="R187" i="12"/>
  <c r="R186" i="12"/>
  <c r="R170" i="12"/>
  <c r="R146" i="12"/>
  <c r="R142" i="12"/>
  <c r="R229" i="12"/>
  <c r="R228" i="12"/>
  <c r="R213" i="12"/>
  <c r="R209" i="12"/>
  <c r="R193" i="12"/>
  <c r="R178" i="12"/>
  <c r="R177" i="12"/>
  <c r="R162" i="12"/>
  <c r="R161" i="12"/>
  <c r="R154" i="12"/>
  <c r="R153" i="12"/>
  <c r="R138" i="12"/>
  <c r="R137" i="12"/>
  <c r="R133" i="12"/>
  <c r="R129" i="12"/>
  <c r="R230" i="12"/>
  <c r="R221" i="12"/>
  <c r="R220" i="12"/>
  <c r="R204" i="12"/>
  <c r="R188" i="12"/>
  <c r="R120" i="12"/>
  <c r="R116" i="12"/>
  <c r="R112" i="12"/>
  <c r="R108" i="12"/>
  <c r="R104" i="12"/>
  <c r="R100" i="12"/>
  <c r="R96" i="12"/>
  <c r="R92" i="12"/>
  <c r="R88" i="12"/>
  <c r="R84" i="12"/>
  <c r="R231" i="12"/>
  <c r="R199" i="12"/>
  <c r="R180" i="12"/>
  <c r="R179" i="12"/>
  <c r="R172" i="12"/>
  <c r="R171" i="12"/>
  <c r="R163" i="12"/>
  <c r="R156" i="12"/>
  <c r="R155" i="12"/>
  <c r="R147" i="12"/>
  <c r="R143" i="12"/>
  <c r="R139" i="12"/>
  <c r="R232" i="12"/>
  <c r="R222" i="12"/>
  <c r="R214" i="12"/>
  <c r="R210" i="12"/>
  <c r="R194" i="12"/>
  <c r="R134" i="12"/>
  <c r="R130" i="12"/>
  <c r="R233" i="12"/>
  <c r="R206" i="12"/>
  <c r="R205" i="12"/>
  <c r="R189" i="12"/>
  <c r="R181" i="12"/>
  <c r="R173" i="12"/>
  <c r="R157" i="12"/>
  <c r="R121" i="12"/>
  <c r="R117" i="12"/>
  <c r="R113" i="12"/>
  <c r="R109" i="12"/>
  <c r="R105" i="12"/>
  <c r="R101" i="12"/>
  <c r="R97" i="12"/>
  <c r="R93" i="12"/>
  <c r="R89" i="12"/>
  <c r="R85" i="12"/>
  <c r="R200" i="12"/>
  <c r="R165" i="12"/>
  <c r="R164" i="12"/>
  <c r="R149" i="12"/>
  <c r="R148" i="12"/>
  <c r="R144" i="12"/>
  <c r="R140" i="12"/>
  <c r="R81" i="12"/>
  <c r="R223" i="12"/>
  <c r="R216" i="12"/>
  <c r="R215" i="12"/>
  <c r="R211" i="12"/>
  <c r="R207" i="12"/>
  <c r="R195" i="12"/>
  <c r="R135" i="12"/>
  <c r="R131" i="12"/>
  <c r="R237" i="12"/>
  <c r="R217" i="12"/>
  <c r="R201" i="12"/>
  <c r="R145" i="12"/>
  <c r="R141" i="12"/>
  <c r="R126" i="12"/>
  <c r="R124" i="12"/>
  <c r="R190" i="12"/>
  <c r="R183" i="12"/>
  <c r="R158" i="12"/>
  <c r="R166" i="12"/>
  <c r="R86" i="12"/>
  <c r="R174" i="12"/>
  <c r="R151" i="12"/>
  <c r="R82" i="12"/>
  <c r="X12" i="12"/>
  <c r="Z12" i="12" s="1"/>
  <c r="R159" i="12"/>
  <c r="R122" i="12"/>
  <c r="R90" i="12"/>
  <c r="R167" i="12"/>
  <c r="R182" i="12"/>
  <c r="R110" i="12"/>
  <c r="R106" i="12"/>
  <c r="R102" i="12"/>
  <c r="R98" i="12"/>
  <c r="R114" i="12"/>
  <c r="R94" i="12"/>
  <c r="R127" i="12"/>
  <c r="R118" i="12"/>
  <c r="R150" i="12"/>
  <c r="P31" i="6"/>
  <c r="L18" i="47"/>
  <c r="D27" i="47"/>
  <c r="T27" i="41"/>
  <c r="Z18" i="41"/>
  <c r="L18" i="38"/>
  <c r="D27" i="38"/>
  <c r="L18" i="35"/>
  <c r="D27" i="35"/>
  <c r="P27" i="35"/>
  <c r="X18" i="35"/>
  <c r="L18" i="26"/>
  <c r="D27" i="26"/>
  <c r="X18" i="22"/>
  <c r="P27" i="22"/>
  <c r="L18" i="20"/>
  <c r="D27" i="20"/>
  <c r="T27" i="25"/>
  <c r="Z18" i="25"/>
  <c r="H27" i="16"/>
  <c r="N18" i="16"/>
  <c r="X18" i="14"/>
  <c r="P27" i="14"/>
  <c r="T27" i="11"/>
  <c r="Z18" i="11"/>
  <c r="P82" i="97"/>
  <c r="P24" i="96"/>
  <c r="X16" i="96"/>
  <c r="P91" i="79"/>
  <c r="X20" i="79"/>
  <c r="T83" i="70"/>
  <c r="P90" i="76"/>
  <c r="X21" i="76"/>
  <c r="Z21" i="76" s="1"/>
  <c r="D63" i="63"/>
  <c r="L16" i="63"/>
  <c r="P63" i="63"/>
  <c r="X16" i="63"/>
  <c r="H63" i="60"/>
  <c r="N16" i="54"/>
  <c r="H22" i="54"/>
  <c r="R88" i="45"/>
  <c r="R84" i="45"/>
  <c r="R73" i="45"/>
  <c r="R72" i="45"/>
  <c r="R37" i="45"/>
  <c r="R36" i="45"/>
  <c r="R32" i="45"/>
  <c r="R28" i="45"/>
  <c r="X12" i="45"/>
  <c r="Z12" i="45" s="1"/>
  <c r="R96" i="45"/>
  <c r="R95" i="45"/>
  <c r="R80" i="45"/>
  <c r="R79" i="45"/>
  <c r="R68" i="45"/>
  <c r="R67" i="45"/>
  <c r="R74" i="45"/>
  <c r="R46" i="45"/>
  <c r="R42" i="45"/>
  <c r="R38" i="45"/>
  <c r="R97" i="45"/>
  <c r="R89" i="45"/>
  <c r="R85" i="45"/>
  <c r="R81" i="45"/>
  <c r="R69" i="45"/>
  <c r="R58" i="45"/>
  <c r="R57" i="45"/>
  <c r="R33" i="45"/>
  <c r="R29" i="45"/>
  <c r="R75" i="45"/>
  <c r="R60" i="45"/>
  <c r="R59" i="45"/>
  <c r="R48" i="45"/>
  <c r="R47" i="45"/>
  <c r="R43" i="45"/>
  <c r="R39" i="45"/>
  <c r="R98" i="45"/>
  <c r="R91" i="45"/>
  <c r="R90" i="45"/>
  <c r="R86" i="45"/>
  <c r="R82" i="45"/>
  <c r="R70" i="45"/>
  <c r="R34" i="45"/>
  <c r="R30" i="45"/>
  <c r="R100" i="45"/>
  <c r="R62" i="45"/>
  <c r="R61" i="45"/>
  <c r="R50" i="45"/>
  <c r="R49" i="45"/>
  <c r="R26" i="45"/>
  <c r="R92" i="45"/>
  <c r="R76" i="45"/>
  <c r="R44" i="45"/>
  <c r="R40" i="45"/>
  <c r="R87" i="45"/>
  <c r="R83" i="45"/>
  <c r="R71" i="45"/>
  <c r="R64" i="45"/>
  <c r="R63" i="45"/>
  <c r="R94" i="45"/>
  <c r="R93" i="45"/>
  <c r="R78" i="45"/>
  <c r="R77" i="45"/>
  <c r="R66" i="45"/>
  <c r="R65" i="45"/>
  <c r="R54" i="45"/>
  <c r="R53" i="45"/>
  <c r="R45" i="45"/>
  <c r="R41" i="45"/>
  <c r="R18" i="45"/>
  <c r="R19" i="45"/>
  <c r="R55" i="45"/>
  <c r="R51" i="45"/>
  <c r="R23" i="45"/>
  <c r="R27" i="45"/>
  <c r="P23" i="45"/>
  <c r="R20" i="45"/>
  <c r="R31" i="45"/>
  <c r="R56" i="45"/>
  <c r="R35" i="45"/>
  <c r="R52" i="45"/>
  <c r="R25" i="45"/>
  <c r="R21" i="45"/>
  <c r="R104" i="45"/>
  <c r="D121" i="42"/>
  <c r="L26" i="42"/>
  <c r="F173" i="30"/>
  <c r="F163" i="30"/>
  <c r="F162" i="30"/>
  <c r="F155" i="30"/>
  <c r="F154" i="30"/>
  <c r="F150" i="30"/>
  <c r="F152" i="30"/>
  <c r="F143" i="30"/>
  <c r="F142" i="30"/>
  <c r="F131" i="30"/>
  <c r="F130" i="30"/>
  <c r="F103" i="30"/>
  <c r="F102" i="30"/>
  <c r="F75" i="30"/>
  <c r="F71" i="30"/>
  <c r="F67" i="30"/>
  <c r="F63" i="30"/>
  <c r="F59" i="30"/>
  <c r="F55" i="30"/>
  <c r="F167" i="30"/>
  <c r="F122" i="30"/>
  <c r="F121" i="30"/>
  <c r="F114" i="30"/>
  <c r="F113" i="30"/>
  <c r="F98" i="30"/>
  <c r="F94" i="30"/>
  <c r="F159" i="30"/>
  <c r="F137" i="30"/>
  <c r="F105" i="30"/>
  <c r="F104" i="30"/>
  <c r="F89" i="30"/>
  <c r="F85" i="30"/>
  <c r="F160" i="30"/>
  <c r="F148" i="30"/>
  <c r="F144" i="30"/>
  <c r="F132" i="30"/>
  <c r="F124" i="30"/>
  <c r="F123" i="30"/>
  <c r="F116" i="30"/>
  <c r="F115" i="30"/>
  <c r="F76" i="30"/>
  <c r="F72" i="30"/>
  <c r="F68" i="30"/>
  <c r="F64" i="30"/>
  <c r="F60" i="30"/>
  <c r="F56" i="30"/>
  <c r="L12" i="30"/>
  <c r="N12" i="30" s="1"/>
  <c r="F156" i="30"/>
  <c r="F139" i="30"/>
  <c r="F138" i="30"/>
  <c r="F107" i="30"/>
  <c r="F106" i="30"/>
  <c r="F99" i="30"/>
  <c r="F95" i="30"/>
  <c r="F168" i="30"/>
  <c r="F153" i="30"/>
  <c r="F146" i="30"/>
  <c r="F145" i="30"/>
  <c r="F133" i="30"/>
  <c r="F125" i="30"/>
  <c r="F117" i="30"/>
  <c r="F109" i="30"/>
  <c r="F108" i="30"/>
  <c r="F80" i="30"/>
  <c r="F78" i="30"/>
  <c r="F73" i="30"/>
  <c r="F69" i="30"/>
  <c r="F65" i="30"/>
  <c r="F61" i="30"/>
  <c r="F57" i="30"/>
  <c r="F53" i="30"/>
  <c r="F52" i="30"/>
  <c r="F169" i="30"/>
  <c r="F165" i="30"/>
  <c r="F151" i="30"/>
  <c r="F140" i="30"/>
  <c r="F100" i="30"/>
  <c r="F96" i="30"/>
  <c r="F92" i="30"/>
  <c r="F91" i="30"/>
  <c r="D78" i="30"/>
  <c r="F161" i="30"/>
  <c r="F157" i="30"/>
  <c r="F149" i="30"/>
  <c r="F135" i="30"/>
  <c r="F134" i="30"/>
  <c r="F127" i="30"/>
  <c r="F126" i="30"/>
  <c r="F119" i="30"/>
  <c r="F118" i="30"/>
  <c r="F87" i="30"/>
  <c r="F83" i="30"/>
  <c r="F136" i="30"/>
  <c r="F120" i="30"/>
  <c r="F112" i="30"/>
  <c r="F111" i="30"/>
  <c r="F88" i="30"/>
  <c r="F84" i="30"/>
  <c r="F90" i="30"/>
  <c r="F158" i="30"/>
  <c r="F74" i="30"/>
  <c r="F70" i="30"/>
  <c r="F66" i="30"/>
  <c r="F62" i="30"/>
  <c r="F58" i="30"/>
  <c r="F141" i="30"/>
  <c r="F82" i="30"/>
  <c r="F147" i="30"/>
  <c r="F129" i="30"/>
  <c r="F110" i="30"/>
  <c r="F54" i="30"/>
  <c r="F93" i="30"/>
  <c r="F97" i="30"/>
  <c r="F86" i="30"/>
  <c r="F128" i="30"/>
  <c r="F101" i="30"/>
  <c r="F81" i="30"/>
  <c r="F166" i="30"/>
  <c r="H175" i="30"/>
  <c r="J171" i="30"/>
  <c r="H120" i="27"/>
  <c r="J55" i="27"/>
  <c r="R68" i="24"/>
  <c r="R67" i="24"/>
  <c r="R59" i="24"/>
  <c r="R55" i="24"/>
  <c r="R40" i="24"/>
  <c r="R38" i="24"/>
  <c r="R28" i="24"/>
  <c r="R91" i="24"/>
  <c r="R90" i="24"/>
  <c r="R78" i="24"/>
  <c r="R51" i="24"/>
  <c r="R50" i="24"/>
  <c r="R46" i="24"/>
  <c r="R42" i="24"/>
  <c r="P38" i="24"/>
  <c r="R85" i="24"/>
  <c r="R69" i="24"/>
  <c r="R33" i="24"/>
  <c r="R29" i="24"/>
  <c r="R92" i="24"/>
  <c r="R60" i="24"/>
  <c r="R56" i="24"/>
  <c r="R52" i="24"/>
  <c r="R94" i="24"/>
  <c r="R80" i="24"/>
  <c r="R79" i="24"/>
  <c r="R47" i="24"/>
  <c r="R43" i="24"/>
  <c r="R86" i="24"/>
  <c r="R71" i="24"/>
  <c r="R70" i="24"/>
  <c r="R34" i="24"/>
  <c r="R30" i="24"/>
  <c r="R81" i="24"/>
  <c r="R62" i="24"/>
  <c r="R61" i="24"/>
  <c r="R57" i="24"/>
  <c r="R53" i="24"/>
  <c r="R98" i="24"/>
  <c r="R73" i="24"/>
  <c r="R72" i="24"/>
  <c r="R48" i="24"/>
  <c r="R44" i="24"/>
  <c r="R88" i="24"/>
  <c r="R87" i="24"/>
  <c r="R64" i="24"/>
  <c r="R63" i="24"/>
  <c r="R35" i="24"/>
  <c r="R31" i="24"/>
  <c r="R83" i="24"/>
  <c r="R82" i="24"/>
  <c r="R75" i="24"/>
  <c r="R74" i="24"/>
  <c r="R58" i="24"/>
  <c r="R54" i="24"/>
  <c r="R84" i="24"/>
  <c r="R77" i="24"/>
  <c r="R76" i="24"/>
  <c r="R41" i="24"/>
  <c r="R36" i="24"/>
  <c r="R32" i="24"/>
  <c r="X12" i="24"/>
  <c r="Z12" i="24" s="1"/>
  <c r="R66" i="24"/>
  <c r="R45" i="24"/>
  <c r="R49" i="24"/>
  <c r="R65" i="24"/>
  <c r="R89" i="24"/>
  <c r="H273" i="3"/>
  <c r="X18" i="98"/>
  <c r="P27" i="98"/>
  <c r="T27" i="52"/>
  <c r="Z18" i="52"/>
  <c r="Z18" i="49"/>
  <c r="T27" i="49"/>
  <c r="L18" i="41"/>
  <c r="D27" i="41"/>
  <c r="N18" i="38"/>
  <c r="H27" i="38"/>
  <c r="T27" i="29"/>
  <c r="Z18" i="29"/>
  <c r="H27" i="25"/>
  <c r="N18" i="25"/>
  <c r="T27" i="22"/>
  <c r="Z18" i="22"/>
  <c r="P27" i="32"/>
  <c r="X18" i="32"/>
  <c r="X18" i="25"/>
  <c r="P27" i="25"/>
  <c r="H27" i="17"/>
  <c r="N18" i="17"/>
  <c r="L18" i="11"/>
  <c r="D27" i="11"/>
  <c r="H27" i="13"/>
  <c r="N18" i="13"/>
  <c r="H27" i="4"/>
  <c r="N18" i="4"/>
  <c r="X18" i="4"/>
  <c r="P27" i="4"/>
  <c r="H86" i="95"/>
  <c r="J19" i="95"/>
  <c r="R79" i="97"/>
  <c r="P30" i="89"/>
  <c r="X16" i="89"/>
  <c r="D44" i="90"/>
  <c r="L40" i="90"/>
  <c r="P91" i="92"/>
  <c r="X23" i="92"/>
  <c r="N18" i="87"/>
  <c r="H28" i="87"/>
  <c r="D79" i="84"/>
  <c r="L21" i="84"/>
  <c r="D86" i="86"/>
  <c r="L20" i="86"/>
  <c r="T79" i="84"/>
  <c r="Z21" i="84"/>
  <c r="F97" i="85"/>
  <c r="F88" i="85"/>
  <c r="F72" i="85"/>
  <c r="F101" i="85"/>
  <c r="F90" i="85"/>
  <c r="F89" i="85"/>
  <c r="F73" i="85"/>
  <c r="F57" i="85"/>
  <c r="F56" i="85"/>
  <c r="F92" i="85"/>
  <c r="F91" i="85"/>
  <c r="F84" i="85"/>
  <c r="F80" i="85"/>
  <c r="F68" i="85"/>
  <c r="F48" i="85"/>
  <c r="F59" i="85"/>
  <c r="F58" i="85"/>
  <c r="F74" i="85"/>
  <c r="F70" i="85"/>
  <c r="F93" i="85"/>
  <c r="F85" i="85"/>
  <c r="F81" i="85"/>
  <c r="F61" i="85"/>
  <c r="F60" i="85"/>
  <c r="F76" i="85"/>
  <c r="F75" i="85"/>
  <c r="F95" i="85"/>
  <c r="F94" i="85"/>
  <c r="F87" i="85"/>
  <c r="F86" i="85"/>
  <c r="F71" i="85"/>
  <c r="F63" i="85"/>
  <c r="F62" i="85"/>
  <c r="F65" i="85"/>
  <c r="F64" i="85"/>
  <c r="F83" i="85"/>
  <c r="F32" i="85"/>
  <c r="F28" i="85"/>
  <c r="L12" i="85"/>
  <c r="N12" i="85" s="1"/>
  <c r="F50" i="85"/>
  <c r="F19" i="85"/>
  <c r="F18" i="85"/>
  <c r="F66" i="85"/>
  <c r="F53" i="85"/>
  <c r="F46" i="85"/>
  <c r="F42" i="85"/>
  <c r="F38" i="85"/>
  <c r="F33" i="85"/>
  <c r="F29" i="85"/>
  <c r="F51" i="85"/>
  <c r="F47" i="85"/>
  <c r="F20" i="85"/>
  <c r="F82" i="85"/>
  <c r="F77" i="85"/>
  <c r="F43" i="85"/>
  <c r="F39" i="85"/>
  <c r="F79" i="85"/>
  <c r="F54" i="85"/>
  <c r="F34" i="85"/>
  <c r="F30" i="85"/>
  <c r="F21" i="85"/>
  <c r="F67" i="85"/>
  <c r="F52" i="85"/>
  <c r="F44" i="85"/>
  <c r="F40" i="85"/>
  <c r="F78" i="85"/>
  <c r="F45" i="85"/>
  <c r="F41" i="85"/>
  <c r="F37" i="85"/>
  <c r="F36" i="85"/>
  <c r="D23" i="85"/>
  <c r="F27" i="85"/>
  <c r="F25" i="85"/>
  <c r="F23" i="85"/>
  <c r="F49" i="85"/>
  <c r="F31" i="85"/>
  <c r="F26" i="85"/>
  <c r="F35" i="85"/>
  <c r="F55" i="85"/>
  <c r="F69" i="85"/>
  <c r="T91" i="81"/>
  <c r="D108" i="71"/>
  <c r="L49" i="71"/>
  <c r="H157" i="69"/>
  <c r="F149" i="69"/>
  <c r="F147" i="69"/>
  <c r="F138" i="69"/>
  <c r="F134" i="69"/>
  <c r="F150" i="69"/>
  <c r="F129" i="69"/>
  <c r="F128" i="69"/>
  <c r="F121" i="69"/>
  <c r="F120" i="69"/>
  <c r="F113" i="69"/>
  <c r="F112" i="69"/>
  <c r="F97" i="69"/>
  <c r="F93" i="69"/>
  <c r="F151" i="69"/>
  <c r="F140" i="69"/>
  <c r="F139" i="69"/>
  <c r="F104" i="69"/>
  <c r="F103" i="69"/>
  <c r="F135" i="69"/>
  <c r="F123" i="69"/>
  <c r="F122" i="69"/>
  <c r="F75" i="69"/>
  <c r="F71" i="69"/>
  <c r="F67" i="69"/>
  <c r="F155" i="69"/>
  <c r="F125" i="69"/>
  <c r="F124" i="69"/>
  <c r="F144" i="69"/>
  <c r="F143" i="69"/>
  <c r="F136" i="69"/>
  <c r="F132" i="69"/>
  <c r="F131" i="69"/>
  <c r="F116" i="69"/>
  <c r="F115" i="69"/>
  <c r="F108" i="69"/>
  <c r="F107" i="69"/>
  <c r="F126" i="69"/>
  <c r="F118" i="69"/>
  <c r="F117" i="69"/>
  <c r="F86" i="69"/>
  <c r="F82" i="69"/>
  <c r="F145" i="69"/>
  <c r="F137" i="69"/>
  <c r="F133" i="69"/>
  <c r="F109" i="69"/>
  <c r="F73" i="69"/>
  <c r="F69" i="69"/>
  <c r="F65" i="69"/>
  <c r="F61" i="69"/>
  <c r="F148" i="69"/>
  <c r="F127" i="69"/>
  <c r="F119" i="69"/>
  <c r="F111" i="69"/>
  <c r="F110" i="69"/>
  <c r="F87" i="69"/>
  <c r="F83" i="69"/>
  <c r="F130" i="69"/>
  <c r="F94" i="69"/>
  <c r="F92" i="69"/>
  <c r="F74" i="69"/>
  <c r="F68" i="69"/>
  <c r="F105" i="69"/>
  <c r="F98" i="69"/>
  <c r="F96" i="69"/>
  <c r="F80" i="69"/>
  <c r="F62" i="69"/>
  <c r="F55" i="69"/>
  <c r="F141" i="69"/>
  <c r="F100" i="69"/>
  <c r="F90" i="69"/>
  <c r="F59" i="69"/>
  <c r="F85" i="69"/>
  <c r="F106" i="69"/>
  <c r="F72" i="69"/>
  <c r="F66" i="69"/>
  <c r="F56" i="69"/>
  <c r="L12" i="69"/>
  <c r="N12" i="69" s="1"/>
  <c r="F88" i="69"/>
  <c r="F63" i="69"/>
  <c r="F60" i="69"/>
  <c r="F142" i="69"/>
  <c r="F101" i="69"/>
  <c r="F91" i="69"/>
  <c r="F81" i="69"/>
  <c r="F95" i="69"/>
  <c r="F57" i="69"/>
  <c r="F53" i="69"/>
  <c r="F52" i="69"/>
  <c r="F99" i="69"/>
  <c r="F70" i="69"/>
  <c r="F64" i="69"/>
  <c r="F114" i="69"/>
  <c r="F102" i="69"/>
  <c r="F89" i="69"/>
  <c r="F79" i="69"/>
  <c r="F58" i="69"/>
  <c r="F84" i="69"/>
  <c r="F54" i="69"/>
  <c r="D77" i="69"/>
  <c r="T92" i="64"/>
  <c r="X103" i="62"/>
  <c r="P107" i="62"/>
  <c r="Z16" i="58"/>
  <c r="T76" i="58"/>
  <c r="X16" i="59"/>
  <c r="P71" i="59"/>
  <c r="L16" i="55"/>
  <c r="D33" i="55"/>
  <c r="P80" i="56"/>
  <c r="X17" i="56"/>
  <c r="P108" i="51"/>
  <c r="X49" i="51"/>
  <c r="Z49" i="51" s="1"/>
  <c r="T124" i="27"/>
  <c r="R115" i="27"/>
  <c r="T253" i="18"/>
  <c r="H103" i="9"/>
  <c r="N17" i="9"/>
  <c r="D26" i="6"/>
  <c r="L22" i="6"/>
  <c r="X18" i="100"/>
  <c r="P27" i="100"/>
  <c r="T27" i="50"/>
  <c r="Z18" i="50"/>
  <c r="D27" i="53"/>
  <c r="L18" i="53"/>
  <c r="H27" i="46"/>
  <c r="N18" i="46"/>
  <c r="H27" i="43"/>
  <c r="N18" i="43"/>
  <c r="T27" i="44"/>
  <c r="Z18" i="44"/>
  <c r="T27" i="43"/>
  <c r="Z18" i="43"/>
  <c r="H27" i="34"/>
  <c r="N18" i="34"/>
  <c r="X18" i="28"/>
  <c r="P27" i="28"/>
  <c r="P27" i="26"/>
  <c r="X18" i="26"/>
  <c r="T27" i="5"/>
  <c r="Z18" i="5"/>
  <c r="X16" i="61"/>
  <c r="P60" i="61"/>
  <c r="F86" i="95"/>
  <c r="F84" i="95"/>
  <c r="F69" i="95"/>
  <c r="F61" i="95"/>
  <c r="F75" i="95"/>
  <c r="F67" i="95"/>
  <c r="F21" i="95"/>
  <c r="F19" i="95"/>
  <c r="F93" i="95"/>
  <c r="F72" i="95"/>
  <c r="F60" i="95"/>
  <c r="F49" i="95"/>
  <c r="F48" i="95"/>
  <c r="F41" i="95"/>
  <c r="F37" i="95"/>
  <c r="D19" i="95"/>
  <c r="F32" i="95"/>
  <c r="F28" i="95"/>
  <c r="F24" i="95"/>
  <c r="F80" i="95"/>
  <c r="F76" i="95"/>
  <c r="F68" i="95"/>
  <c r="F51" i="95"/>
  <c r="F50" i="95"/>
  <c r="F62" i="95"/>
  <c r="F42" i="95"/>
  <c r="F38" i="95"/>
  <c r="F34" i="95"/>
  <c r="F33" i="95"/>
  <c r="F88" i="95"/>
  <c r="F73" i="95"/>
  <c r="F63" i="95"/>
  <c r="F53" i="95"/>
  <c r="F52" i="95"/>
  <c r="F29" i="95"/>
  <c r="F25" i="95"/>
  <c r="F81" i="95"/>
  <c r="L12" i="95"/>
  <c r="N12" i="95" s="1"/>
  <c r="F77" i="95"/>
  <c r="F64" i="95"/>
  <c r="F55" i="95"/>
  <c r="F54" i="95"/>
  <c r="F43" i="95"/>
  <c r="F39" i="95"/>
  <c r="F35" i="95"/>
  <c r="F82" i="95"/>
  <c r="F74" i="95"/>
  <c r="F65" i="95"/>
  <c r="F30" i="95"/>
  <c r="F26" i="95"/>
  <c r="F79" i="95"/>
  <c r="F66" i="95"/>
  <c r="F59" i="95"/>
  <c r="F58" i="95"/>
  <c r="F47" i="95"/>
  <c r="F46" i="95"/>
  <c r="F31" i="95"/>
  <c r="F27" i="95"/>
  <c r="F23" i="95"/>
  <c r="F22" i="95"/>
  <c r="F45" i="95"/>
  <c r="F70" i="95"/>
  <c r="F16" i="95"/>
  <c r="F56" i="95"/>
  <c r="F44" i="95"/>
  <c r="F90" i="95"/>
  <c r="F40" i="95"/>
  <c r="F78" i="95"/>
  <c r="F36" i="95"/>
  <c r="F57" i="95"/>
  <c r="F71" i="95"/>
  <c r="F17" i="95"/>
  <c r="T93" i="95"/>
  <c r="J23" i="94"/>
  <c r="T91" i="92"/>
  <c r="Z23" i="92"/>
  <c r="P98" i="94"/>
  <c r="X23" i="94"/>
  <c r="X40" i="90"/>
  <c r="Z40" i="90" s="1"/>
  <c r="L16" i="88"/>
  <c r="P80" i="83"/>
  <c r="X19" i="83"/>
  <c r="Z16" i="80"/>
  <c r="T32" i="80"/>
  <c r="T98" i="79"/>
  <c r="F81" i="79"/>
  <c r="F80" i="79"/>
  <c r="F65" i="79"/>
  <c r="F57" i="79"/>
  <c r="F56" i="79"/>
  <c r="F17" i="79"/>
  <c r="F16" i="79"/>
  <c r="F83" i="79"/>
  <c r="F82" i="79"/>
  <c r="F59" i="79"/>
  <c r="F58" i="79"/>
  <c r="F31" i="79"/>
  <c r="F27" i="79"/>
  <c r="F66" i="79"/>
  <c r="F85" i="79"/>
  <c r="F84" i="79"/>
  <c r="F77" i="79"/>
  <c r="F73" i="79"/>
  <c r="F49" i="79"/>
  <c r="F41" i="79"/>
  <c r="F37" i="79"/>
  <c r="F33" i="79"/>
  <c r="F32" i="79"/>
  <c r="F60" i="79"/>
  <c r="F28" i="79"/>
  <c r="F24" i="79"/>
  <c r="F23" i="79"/>
  <c r="F87" i="79"/>
  <c r="F86" i="79"/>
  <c r="F67" i="79"/>
  <c r="F51" i="79"/>
  <c r="F50" i="79"/>
  <c r="F22" i="79"/>
  <c r="F20" i="79"/>
  <c r="F78" i="79"/>
  <c r="F74" i="79"/>
  <c r="F62" i="79"/>
  <c r="F61" i="79"/>
  <c r="F69" i="79"/>
  <c r="F68" i="79"/>
  <c r="F53" i="79"/>
  <c r="F52" i="79"/>
  <c r="F46" i="79"/>
  <c r="F45" i="79"/>
  <c r="F30" i="79"/>
  <c r="F26" i="79"/>
  <c r="F95" i="79"/>
  <c r="F72" i="79"/>
  <c r="F44" i="79"/>
  <c r="F70" i="79"/>
  <c r="F64" i="79"/>
  <c r="F89" i="79"/>
  <c r="F35" i="79"/>
  <c r="F42" i="79"/>
  <c r="F25" i="79"/>
  <c r="F55" i="79"/>
  <c r="F48" i="79"/>
  <c r="F40" i="79"/>
  <c r="F79" i="79"/>
  <c r="F18" i="79"/>
  <c r="L12" i="79"/>
  <c r="F93" i="79"/>
  <c r="F75" i="79"/>
  <c r="F38" i="79"/>
  <c r="F71" i="79"/>
  <c r="F63" i="79"/>
  <c r="F43" i="79"/>
  <c r="F36" i="79"/>
  <c r="F91" i="79"/>
  <c r="F98" i="79"/>
  <c r="F34" i="79"/>
  <c r="F76" i="79"/>
  <c r="F54" i="79"/>
  <c r="F47" i="79"/>
  <c r="F39" i="79"/>
  <c r="D20" i="79"/>
  <c r="F29" i="79"/>
  <c r="F97" i="77"/>
  <c r="F120" i="77"/>
  <c r="F111" i="77"/>
  <c r="F108" i="77"/>
  <c r="F102" i="77"/>
  <c r="F82" i="77"/>
  <c r="F42" i="77"/>
  <c r="F38" i="77"/>
  <c r="F112" i="77"/>
  <c r="F93" i="77"/>
  <c r="F73" i="77"/>
  <c r="F72" i="77"/>
  <c r="F65" i="77"/>
  <c r="F61" i="77"/>
  <c r="F124" i="77"/>
  <c r="F103" i="77"/>
  <c r="F84" i="77"/>
  <c r="F83" i="77"/>
  <c r="F56" i="77"/>
  <c r="F52" i="77"/>
  <c r="F48" i="77"/>
  <c r="F47" i="77"/>
  <c r="F117" i="77"/>
  <c r="F113" i="77"/>
  <c r="F106" i="77"/>
  <c r="F98" i="77"/>
  <c r="F75" i="77"/>
  <c r="F74" i="77"/>
  <c r="F46" i="77"/>
  <c r="F39" i="77"/>
  <c r="F109" i="77"/>
  <c r="F94" i="77"/>
  <c r="F86" i="77"/>
  <c r="F85" i="77"/>
  <c r="F66" i="77"/>
  <c r="F62" i="77"/>
  <c r="F58" i="77"/>
  <c r="F57" i="77"/>
  <c r="D44" i="77"/>
  <c r="L12" i="77"/>
  <c r="N12" i="77" s="1"/>
  <c r="F118" i="77"/>
  <c r="F114" i="77"/>
  <c r="F77" i="77"/>
  <c r="F76" i="77"/>
  <c r="F53" i="77"/>
  <c r="F49" i="77"/>
  <c r="F110" i="77"/>
  <c r="F104" i="77"/>
  <c r="F100" i="77"/>
  <c r="F99" i="77"/>
  <c r="F95" i="77"/>
  <c r="F88" i="77"/>
  <c r="F87" i="77"/>
  <c r="F40" i="77"/>
  <c r="F36" i="77"/>
  <c r="F35" i="77"/>
  <c r="F115" i="77"/>
  <c r="F79" i="77"/>
  <c r="F78" i="77"/>
  <c r="F67" i="77"/>
  <c r="F63" i="77"/>
  <c r="F59" i="77"/>
  <c r="F107" i="77"/>
  <c r="F96" i="77"/>
  <c r="F90" i="77"/>
  <c r="F89" i="77"/>
  <c r="F54" i="77"/>
  <c r="F50" i="77"/>
  <c r="F81" i="77"/>
  <c r="F80" i="77"/>
  <c r="F69" i="77"/>
  <c r="F68" i="77"/>
  <c r="F41" i="77"/>
  <c r="F37" i="77"/>
  <c r="F116" i="77"/>
  <c r="F105" i="77"/>
  <c r="F71" i="77"/>
  <c r="F70" i="77"/>
  <c r="F55" i="77"/>
  <c r="F51" i="77"/>
  <c r="F60" i="77"/>
  <c r="F64" i="77"/>
  <c r="F92" i="77"/>
  <c r="F101" i="77"/>
  <c r="F91" i="77"/>
  <c r="H108" i="71"/>
  <c r="N49" i="71"/>
  <c r="H83" i="70"/>
  <c r="R77" i="69"/>
  <c r="R97" i="66"/>
  <c r="R89" i="66"/>
  <c r="R65" i="66"/>
  <c r="R61" i="66"/>
  <c r="R112" i="66"/>
  <c r="R104" i="66"/>
  <c r="R81" i="66"/>
  <c r="R80" i="66"/>
  <c r="R57" i="66"/>
  <c r="R52" i="66"/>
  <c r="R48" i="66"/>
  <c r="R44" i="66"/>
  <c r="R40" i="66"/>
  <c r="R115" i="66"/>
  <c r="R114" i="66"/>
  <c r="R75" i="66"/>
  <c r="R71" i="66"/>
  <c r="R56" i="66"/>
  <c r="R36" i="66"/>
  <c r="R116" i="66"/>
  <c r="R99" i="66"/>
  <c r="R98" i="66"/>
  <c r="R91" i="66"/>
  <c r="R90" i="66"/>
  <c r="R82" i="66"/>
  <c r="R66" i="66"/>
  <c r="R62" i="66"/>
  <c r="R58" i="66"/>
  <c r="R117" i="66"/>
  <c r="R106" i="66"/>
  <c r="R105" i="66"/>
  <c r="R49" i="66"/>
  <c r="R45" i="66"/>
  <c r="R41" i="66"/>
  <c r="R37" i="66"/>
  <c r="R100" i="66"/>
  <c r="R92" i="66"/>
  <c r="R76" i="66"/>
  <c r="R72" i="66"/>
  <c r="R107" i="66"/>
  <c r="R84" i="66"/>
  <c r="R83" i="66"/>
  <c r="R68" i="66"/>
  <c r="R67" i="66"/>
  <c r="R63" i="66"/>
  <c r="R59" i="66"/>
  <c r="R121" i="66"/>
  <c r="R102" i="66"/>
  <c r="R101" i="66"/>
  <c r="R94" i="66"/>
  <c r="R93" i="66"/>
  <c r="R86" i="66"/>
  <c r="R85" i="66"/>
  <c r="R77" i="66"/>
  <c r="R73" i="66"/>
  <c r="R69" i="66"/>
  <c r="R111" i="66"/>
  <c r="R110" i="66"/>
  <c r="R79" i="66"/>
  <c r="R78" i="66"/>
  <c r="R74" i="66"/>
  <c r="R70" i="66"/>
  <c r="R60" i="66"/>
  <c r="R50" i="66"/>
  <c r="R87" i="66"/>
  <c r="R64" i="66"/>
  <c r="R43" i="66"/>
  <c r="R38" i="66"/>
  <c r="R95" i="66"/>
  <c r="R108" i="66"/>
  <c r="R46" i="66"/>
  <c r="R88" i="66"/>
  <c r="R51" i="66"/>
  <c r="R96" i="66"/>
  <c r="P54" i="66"/>
  <c r="R39" i="66"/>
  <c r="R103" i="66"/>
  <c r="R42" i="66"/>
  <c r="R109" i="66"/>
  <c r="X12" i="66"/>
  <c r="Z12" i="66" s="1"/>
  <c r="R47" i="66"/>
  <c r="X16" i="58"/>
  <c r="P76" i="58"/>
  <c r="H60" i="61"/>
  <c r="N16" i="61"/>
  <c r="Z103" i="62"/>
  <c r="T107" i="62"/>
  <c r="N16" i="59"/>
  <c r="H71" i="59"/>
  <c r="F100" i="51"/>
  <c r="F99" i="51"/>
  <c r="F84" i="51"/>
  <c r="F60" i="51"/>
  <c r="F56" i="51"/>
  <c r="F95" i="51"/>
  <c r="F94" i="51"/>
  <c r="F75" i="51"/>
  <c r="F74" i="51"/>
  <c r="F47" i="51"/>
  <c r="F43" i="51"/>
  <c r="F39" i="51"/>
  <c r="F35" i="51"/>
  <c r="F102" i="51"/>
  <c r="F101" i="51"/>
  <c r="F86" i="51"/>
  <c r="F85" i="51"/>
  <c r="F70" i="51"/>
  <c r="F66" i="51"/>
  <c r="F77" i="51"/>
  <c r="F76" i="51"/>
  <c r="F61" i="51"/>
  <c r="F57" i="51"/>
  <c r="F53" i="51"/>
  <c r="F52" i="51"/>
  <c r="F106" i="51"/>
  <c r="F104" i="51"/>
  <c r="F79" i="51"/>
  <c r="F78" i="51"/>
  <c r="F71" i="51"/>
  <c r="F67" i="51"/>
  <c r="D49" i="51"/>
  <c r="F90" i="51"/>
  <c r="F89" i="51"/>
  <c r="F62" i="51"/>
  <c r="F58" i="51"/>
  <c r="F54" i="51"/>
  <c r="L12" i="51"/>
  <c r="N12" i="51" s="1"/>
  <c r="F97" i="51"/>
  <c r="F81" i="51"/>
  <c r="F80" i="51"/>
  <c r="F45" i="51"/>
  <c r="F41" i="51"/>
  <c r="F37" i="51"/>
  <c r="F110" i="51"/>
  <c r="F72" i="51"/>
  <c r="F68" i="51"/>
  <c r="F64" i="51"/>
  <c r="F63" i="51"/>
  <c r="F91" i="51"/>
  <c r="F83" i="51"/>
  <c r="F82" i="51"/>
  <c r="F59" i="51"/>
  <c r="F55" i="51"/>
  <c r="F93" i="51"/>
  <c r="F92" i="51"/>
  <c r="F73" i="51"/>
  <c r="F69" i="51"/>
  <c r="F65" i="51"/>
  <c r="F96" i="51"/>
  <c r="F98" i="51"/>
  <c r="F33" i="51"/>
  <c r="F87" i="51"/>
  <c r="F34" i="51"/>
  <c r="F105" i="51"/>
  <c r="F36" i="51"/>
  <c r="F88" i="51"/>
  <c r="F51" i="51"/>
  <c r="F40" i="51"/>
  <c r="F38" i="51"/>
  <c r="F46" i="51"/>
  <c r="F44" i="51"/>
  <c r="F42" i="51"/>
  <c r="D75" i="48"/>
  <c r="L17" i="48"/>
  <c r="N26" i="42"/>
  <c r="H121" i="42"/>
  <c r="H78" i="57"/>
  <c r="H128" i="39"/>
  <c r="N32" i="39"/>
  <c r="Z28" i="36"/>
  <c r="T128" i="36"/>
  <c r="V28" i="36"/>
  <c r="R77" i="33"/>
  <c r="R76" i="33"/>
  <c r="R72" i="33"/>
  <c r="R65" i="33"/>
  <c r="R64" i="33"/>
  <c r="R40" i="33"/>
  <c r="R36" i="33"/>
  <c r="R79" i="33"/>
  <c r="R78" i="33"/>
  <c r="R73" i="33"/>
  <c r="R58" i="33"/>
  <c r="R57" i="33"/>
  <c r="R41" i="33"/>
  <c r="R83" i="33"/>
  <c r="R82" i="33"/>
  <c r="R84" i="33"/>
  <c r="R74" i="33"/>
  <c r="R43" i="33"/>
  <c r="R42" i="33"/>
  <c r="R38" i="33"/>
  <c r="R69" i="33"/>
  <c r="R68" i="33"/>
  <c r="R75" i="33"/>
  <c r="R63" i="33"/>
  <c r="R39" i="33"/>
  <c r="R70" i="33"/>
  <c r="R60" i="33"/>
  <c r="R53" i="33"/>
  <c r="R50" i="33"/>
  <c r="R47" i="33"/>
  <c r="R35" i="33"/>
  <c r="R88" i="33"/>
  <c r="R61" i="33"/>
  <c r="R55" i="33"/>
  <c r="R51" i="33"/>
  <c r="R48" i="33"/>
  <c r="R45" i="33"/>
  <c r="R26" i="33"/>
  <c r="R66" i="33"/>
  <c r="R56" i="33"/>
  <c r="R27" i="33"/>
  <c r="R62" i="33"/>
  <c r="R52" i="33"/>
  <c r="R49" i="33"/>
  <c r="R46" i="33"/>
  <c r="R33" i="33"/>
  <c r="R80" i="33"/>
  <c r="R59" i="33"/>
  <c r="R32" i="33"/>
  <c r="R44" i="33"/>
  <c r="R37" i="33"/>
  <c r="R34" i="33"/>
  <c r="P30" i="33"/>
  <c r="R30" i="33" s="1"/>
  <c r="R71" i="33"/>
  <c r="X12" i="33"/>
  <c r="Z12" i="33" s="1"/>
  <c r="R54" i="33"/>
  <c r="R28" i="33"/>
  <c r="R67" i="33"/>
  <c r="H109" i="21"/>
  <c r="X17" i="9"/>
  <c r="P103" i="9"/>
  <c r="P27" i="44"/>
  <c r="X18" i="44"/>
  <c r="X18" i="41"/>
  <c r="P27" i="41"/>
  <c r="L18" i="40"/>
  <c r="D27" i="40"/>
  <c r="X18" i="34"/>
  <c r="P27" i="34"/>
  <c r="H27" i="41"/>
  <c r="N18" i="41"/>
  <c r="Z18" i="31"/>
  <c r="T27" i="31"/>
  <c r="L18" i="22"/>
  <c r="D27" i="22"/>
  <c r="H27" i="26"/>
  <c r="N18" i="26"/>
  <c r="T27" i="19"/>
  <c r="Z18" i="19"/>
  <c r="X18" i="7"/>
  <c r="P27" i="7"/>
  <c r="H27" i="5"/>
  <c r="N18" i="5"/>
  <c r="L18" i="4"/>
  <c r="D27" i="4"/>
  <c r="P24" i="93"/>
  <c r="X16" i="93"/>
  <c r="X44" i="90"/>
  <c r="P47" i="90"/>
  <c r="R73" i="86"/>
  <c r="R69" i="86"/>
  <c r="R57" i="86"/>
  <c r="R17" i="86"/>
  <c r="R64" i="86"/>
  <c r="R48" i="86"/>
  <c r="R40" i="86"/>
  <c r="R36" i="86"/>
  <c r="R80" i="86"/>
  <c r="R79" i="86"/>
  <c r="R32" i="86"/>
  <c r="R31" i="86"/>
  <c r="R27" i="86"/>
  <c r="R74" i="86"/>
  <c r="R70" i="86"/>
  <c r="R58" i="86"/>
  <c r="R23" i="86"/>
  <c r="R18" i="86"/>
  <c r="R81" i="86"/>
  <c r="R66" i="86"/>
  <c r="R65" i="86"/>
  <c r="R50" i="86"/>
  <c r="R49" i="86"/>
  <c r="R41" i="86"/>
  <c r="R37" i="86"/>
  <c r="R33" i="86"/>
  <c r="R22" i="86"/>
  <c r="R20" i="86"/>
  <c r="R84" i="86"/>
  <c r="R83" i="86"/>
  <c r="R28" i="86"/>
  <c r="R24" i="86"/>
  <c r="P20" i="86"/>
  <c r="R86" i="86"/>
  <c r="R75" i="86"/>
  <c r="R71" i="86"/>
  <c r="R67" i="86"/>
  <c r="R60" i="86"/>
  <c r="R59" i="86"/>
  <c r="R52" i="86"/>
  <c r="R51" i="86"/>
  <c r="R43" i="86"/>
  <c r="R42" i="86"/>
  <c r="R38" i="86"/>
  <c r="R34" i="86"/>
  <c r="R61" i="86"/>
  <c r="R54" i="86"/>
  <c r="R53" i="86"/>
  <c r="R29" i="86"/>
  <c r="R25" i="86"/>
  <c r="R88" i="86"/>
  <c r="R77" i="86"/>
  <c r="R76" i="86"/>
  <c r="R72" i="86"/>
  <c r="R68" i="86"/>
  <c r="R45" i="86"/>
  <c r="R44" i="86"/>
  <c r="X12" i="86"/>
  <c r="R78" i="86"/>
  <c r="R63" i="86"/>
  <c r="R62" i="86"/>
  <c r="R47" i="86"/>
  <c r="R46" i="86"/>
  <c r="R30" i="86"/>
  <c r="R26" i="86"/>
  <c r="R93" i="86"/>
  <c r="R55" i="86"/>
  <c r="R90" i="86"/>
  <c r="R56" i="86"/>
  <c r="R16" i="86"/>
  <c r="R35" i="86"/>
  <c r="R39" i="86"/>
  <c r="R23" i="85"/>
  <c r="N18" i="82"/>
  <c r="H78" i="82"/>
  <c r="L56" i="88"/>
  <c r="D60" i="88"/>
  <c r="R120" i="77"/>
  <c r="R105" i="77"/>
  <c r="R115" i="77"/>
  <c r="R107" i="77"/>
  <c r="R103" i="77"/>
  <c r="R114" i="77"/>
  <c r="R106" i="77"/>
  <c r="R99" i="77"/>
  <c r="R98" i="77"/>
  <c r="R94" i="77"/>
  <c r="R87" i="77"/>
  <c r="R86" i="77"/>
  <c r="R66" i="77"/>
  <c r="R62" i="77"/>
  <c r="R58" i="77"/>
  <c r="R35" i="77"/>
  <c r="X12" i="77"/>
  <c r="Z12" i="77" s="1"/>
  <c r="R95" i="77"/>
  <c r="R78" i="77"/>
  <c r="R77" i="77"/>
  <c r="R53" i="77"/>
  <c r="R49" i="77"/>
  <c r="R118" i="77"/>
  <c r="R100" i="77"/>
  <c r="R89" i="77"/>
  <c r="R88" i="77"/>
  <c r="R40" i="77"/>
  <c r="R36" i="77"/>
  <c r="R110" i="77"/>
  <c r="R104" i="77"/>
  <c r="R80" i="77"/>
  <c r="R79" i="77"/>
  <c r="R68" i="77"/>
  <c r="R67" i="77"/>
  <c r="R63" i="77"/>
  <c r="R59" i="77"/>
  <c r="R96" i="77"/>
  <c r="R91" i="77"/>
  <c r="R90" i="77"/>
  <c r="R54" i="77"/>
  <c r="R50" i="77"/>
  <c r="R81" i="77"/>
  <c r="R70" i="77"/>
  <c r="R69" i="77"/>
  <c r="R41" i="77"/>
  <c r="R37" i="77"/>
  <c r="R101" i="77"/>
  <c r="R92" i="77"/>
  <c r="R64" i="77"/>
  <c r="R60" i="77"/>
  <c r="R111" i="77"/>
  <c r="R102" i="77"/>
  <c r="R72" i="77"/>
  <c r="R71" i="77"/>
  <c r="R55" i="77"/>
  <c r="R51" i="77"/>
  <c r="R116" i="77"/>
  <c r="R112" i="77"/>
  <c r="R97" i="77"/>
  <c r="R83" i="77"/>
  <c r="R82" i="77"/>
  <c r="R47" i="77"/>
  <c r="R42" i="77"/>
  <c r="R38" i="77"/>
  <c r="R108" i="77"/>
  <c r="R93" i="77"/>
  <c r="R74" i="77"/>
  <c r="R73" i="77"/>
  <c r="R65" i="77"/>
  <c r="R61" i="77"/>
  <c r="R46" i="77"/>
  <c r="R124" i="77"/>
  <c r="R113" i="77"/>
  <c r="R109" i="77"/>
  <c r="R76" i="77"/>
  <c r="R75" i="77"/>
  <c r="R39" i="77"/>
  <c r="R57" i="77"/>
  <c r="R52" i="77"/>
  <c r="R85" i="77"/>
  <c r="R56" i="77"/>
  <c r="R48" i="77"/>
  <c r="R117" i="77"/>
  <c r="R84" i="77"/>
  <c r="P44" i="77"/>
  <c r="T56" i="75"/>
  <c r="F31" i="75"/>
  <c r="F27" i="75"/>
  <c r="F26" i="75"/>
  <c r="F25" i="75"/>
  <c r="F45" i="75"/>
  <c r="F41" i="75"/>
  <c r="F37" i="75"/>
  <c r="D23" i="75"/>
  <c r="F32" i="75"/>
  <c r="F28" i="75"/>
  <c r="L12" i="75"/>
  <c r="N12" i="75" s="1"/>
  <c r="F19" i="75"/>
  <c r="F18" i="75"/>
  <c r="F47" i="75"/>
  <c r="F42" i="75"/>
  <c r="F38" i="75"/>
  <c r="F51" i="75"/>
  <c r="F33" i="75"/>
  <c r="F29" i="75"/>
  <c r="F20" i="75"/>
  <c r="F43" i="75"/>
  <c r="F39" i="75"/>
  <c r="F34" i="75"/>
  <c r="F30" i="75"/>
  <c r="F44" i="75"/>
  <c r="F40" i="75"/>
  <c r="F36" i="75"/>
  <c r="F35" i="75"/>
  <c r="F21" i="75"/>
  <c r="V77" i="69"/>
  <c r="P79" i="73"/>
  <c r="X22" i="73"/>
  <c r="Z22" i="73" s="1"/>
  <c r="H74" i="67"/>
  <c r="N23" i="67"/>
  <c r="J23" i="67"/>
  <c r="R104" i="71"/>
  <c r="D22" i="54"/>
  <c r="L16" i="54"/>
  <c r="F17" i="48"/>
  <c r="T84" i="56"/>
  <c r="F111" i="36"/>
  <c r="F110" i="36"/>
  <c r="F91" i="36"/>
  <c r="F30" i="36"/>
  <c r="F118" i="36"/>
  <c r="F106" i="36"/>
  <c r="F102" i="36"/>
  <c r="F78" i="36"/>
  <c r="F77" i="36"/>
  <c r="F66" i="36"/>
  <c r="F65" i="36"/>
  <c r="F58" i="36"/>
  <c r="F57" i="36"/>
  <c r="F50" i="36"/>
  <c r="F46" i="36"/>
  <c r="D28" i="36"/>
  <c r="L12" i="36"/>
  <c r="N12" i="36" s="1"/>
  <c r="F97" i="36"/>
  <c r="F85" i="36"/>
  <c r="F41" i="36"/>
  <c r="F37" i="36"/>
  <c r="F33" i="36"/>
  <c r="F120" i="36"/>
  <c r="F119" i="36"/>
  <c r="F112" i="36"/>
  <c r="F92" i="36"/>
  <c r="F80" i="36"/>
  <c r="F79" i="36"/>
  <c r="F68" i="36"/>
  <c r="F67" i="36"/>
  <c r="F60" i="36"/>
  <c r="F59" i="36"/>
  <c r="F24" i="36"/>
  <c r="F23" i="36"/>
  <c r="F107" i="36"/>
  <c r="F103" i="36"/>
  <c r="F99" i="36"/>
  <c r="F98" i="36"/>
  <c r="F87" i="36"/>
  <c r="F86" i="36"/>
  <c r="F123" i="36"/>
  <c r="F114" i="36"/>
  <c r="F113" i="36"/>
  <c r="F82" i="36"/>
  <c r="F81" i="36"/>
  <c r="F70" i="36"/>
  <c r="F69" i="36"/>
  <c r="F38" i="36"/>
  <c r="F34" i="36"/>
  <c r="F124" i="36"/>
  <c r="F122" i="36"/>
  <c r="F93" i="36"/>
  <c r="F61" i="36"/>
  <c r="F25" i="36"/>
  <c r="F125" i="36"/>
  <c r="F116" i="36"/>
  <c r="F115" i="36"/>
  <c r="F108" i="36"/>
  <c r="F104" i="36"/>
  <c r="F100" i="36"/>
  <c r="F88" i="36"/>
  <c r="F72" i="36"/>
  <c r="F71" i="36"/>
  <c r="F52" i="36"/>
  <c r="F48" i="36"/>
  <c r="F44" i="36"/>
  <c r="F126" i="36"/>
  <c r="F83" i="36"/>
  <c r="F39" i="36"/>
  <c r="F35" i="36"/>
  <c r="F94" i="36"/>
  <c r="F90" i="36"/>
  <c r="F89" i="36"/>
  <c r="F74" i="36"/>
  <c r="F73" i="36"/>
  <c r="F62" i="36"/>
  <c r="F54" i="36"/>
  <c r="F53" i="36"/>
  <c r="F26" i="36"/>
  <c r="F130" i="36"/>
  <c r="F96" i="36"/>
  <c r="F95" i="36"/>
  <c r="F84" i="36"/>
  <c r="F76" i="36"/>
  <c r="F75" i="36"/>
  <c r="F64" i="36"/>
  <c r="F63" i="36"/>
  <c r="F56" i="36"/>
  <c r="F55" i="36"/>
  <c r="F40" i="36"/>
  <c r="F36" i="36"/>
  <c r="F32" i="36"/>
  <c r="F31" i="36"/>
  <c r="F101" i="36"/>
  <c r="F49" i="36"/>
  <c r="F109" i="36"/>
  <c r="F45" i="36"/>
  <c r="F105" i="36"/>
  <c r="F47" i="36"/>
  <c r="F42" i="36"/>
  <c r="F117" i="36"/>
  <c r="F43" i="36"/>
  <c r="F51" i="36"/>
  <c r="X55" i="27"/>
  <c r="Z55" i="27" s="1"/>
  <c r="P120" i="27"/>
  <c r="F82" i="33"/>
  <c r="R55" i="27"/>
  <c r="F144" i="18"/>
  <c r="H228" i="15"/>
  <c r="L16" i="6"/>
  <c r="T27" i="100"/>
  <c r="Z18" i="100"/>
  <c r="P27" i="50"/>
  <c r="X18" i="50"/>
  <c r="D27" i="50"/>
  <c r="L18" i="50"/>
  <c r="H27" i="40"/>
  <c r="N18" i="40"/>
  <c r="L18" i="37"/>
  <c r="D27" i="37"/>
  <c r="H27" i="29"/>
  <c r="N18" i="29"/>
  <c r="X18" i="23"/>
  <c r="P27" i="23"/>
  <c r="H27" i="19"/>
  <c r="N18" i="19"/>
  <c r="X18" i="17"/>
  <c r="P27" i="17"/>
  <c r="T27" i="16"/>
  <c r="Z18" i="16"/>
  <c r="T27" i="13"/>
  <c r="Z18" i="13"/>
  <c r="X18" i="13"/>
  <c r="P27" i="13"/>
  <c r="T27" i="7"/>
  <c r="Z18" i="7"/>
  <c r="P27" i="16"/>
  <c r="X18" i="16"/>
  <c r="V54" i="66"/>
  <c r="D119" i="66"/>
  <c r="L54" i="66"/>
  <c r="N54" i="66" s="1"/>
  <c r="H80" i="56"/>
  <c r="N17" i="56"/>
  <c r="X17" i="48"/>
  <c r="Z17" i="48" s="1"/>
  <c r="P75" i="48"/>
  <c r="H102" i="45"/>
  <c r="F105" i="21"/>
  <c r="F104" i="21"/>
  <c r="F85" i="21"/>
  <c r="F73" i="21"/>
  <c r="F72" i="21"/>
  <c r="F61" i="21"/>
  <c r="F60" i="21"/>
  <c r="F37" i="21"/>
  <c r="F33" i="21"/>
  <c r="F96" i="21"/>
  <c r="F92" i="21"/>
  <c r="F80" i="21"/>
  <c r="F79" i="21"/>
  <c r="F52" i="21"/>
  <c r="F51" i="21"/>
  <c r="F24" i="21"/>
  <c r="L12" i="21"/>
  <c r="N12" i="21" s="1"/>
  <c r="F75" i="21"/>
  <c r="F74" i="21"/>
  <c r="F63" i="21"/>
  <c r="F62" i="21"/>
  <c r="F47" i="21"/>
  <c r="F43" i="21"/>
  <c r="F107" i="21"/>
  <c r="F98" i="21"/>
  <c r="F97" i="21"/>
  <c r="F86" i="21"/>
  <c r="F54" i="21"/>
  <c r="F53" i="21"/>
  <c r="F38" i="21"/>
  <c r="F34" i="21"/>
  <c r="F111" i="21"/>
  <c r="F93" i="21"/>
  <c r="F81" i="21"/>
  <c r="F65" i="21"/>
  <c r="F64" i="21"/>
  <c r="F88" i="21"/>
  <c r="F87" i="21"/>
  <c r="F76" i="21"/>
  <c r="F56" i="21"/>
  <c r="F55" i="21"/>
  <c r="F48" i="21"/>
  <c r="F44" i="21"/>
  <c r="F99" i="21"/>
  <c r="F83" i="21"/>
  <c r="F82" i="21"/>
  <c r="F67" i="21"/>
  <c r="F66" i="21"/>
  <c r="F39" i="21"/>
  <c r="F35" i="21"/>
  <c r="F31" i="21"/>
  <c r="F30" i="21"/>
  <c r="F94" i="21"/>
  <c r="F90" i="21"/>
  <c r="F89" i="21"/>
  <c r="F58" i="21"/>
  <c r="F57" i="21"/>
  <c r="F101" i="21"/>
  <c r="F100" i="21"/>
  <c r="F77" i="21"/>
  <c r="F69" i="21"/>
  <c r="F68" i="21"/>
  <c r="F49" i="21"/>
  <c r="F45" i="21"/>
  <c r="F41" i="21"/>
  <c r="F40" i="21"/>
  <c r="D27" i="21"/>
  <c r="F84" i="21"/>
  <c r="F36" i="21"/>
  <c r="F32" i="21"/>
  <c r="F46" i="21"/>
  <c r="F42" i="21"/>
  <c r="F102" i="21"/>
  <c r="F71" i="21"/>
  <c r="F59" i="21"/>
  <c r="F23" i="21"/>
  <c r="F95" i="21"/>
  <c r="F25" i="21"/>
  <c r="F29" i="21"/>
  <c r="F70" i="21"/>
  <c r="F103" i="21"/>
  <c r="F22" i="21"/>
  <c r="F78" i="21"/>
  <c r="F91" i="21"/>
  <c r="F50" i="21"/>
  <c r="R243" i="18"/>
  <c r="R236" i="18"/>
  <c r="R235" i="18"/>
  <c r="R220" i="18"/>
  <c r="R219" i="18"/>
  <c r="R155" i="18"/>
  <c r="R151" i="18"/>
  <c r="R246" i="18"/>
  <c r="R245" i="18"/>
  <c r="R230" i="18"/>
  <c r="R226" i="18"/>
  <c r="R215" i="18"/>
  <c r="R214" i="18"/>
  <c r="R203" i="18"/>
  <c r="R202" i="18"/>
  <c r="R194" i="18"/>
  <c r="R187" i="18"/>
  <c r="R186" i="18"/>
  <c r="R179" i="18"/>
  <c r="R178" i="18"/>
  <c r="R171" i="18"/>
  <c r="R170" i="18"/>
  <c r="R248" i="18"/>
  <c r="R216" i="18"/>
  <c r="R205" i="18"/>
  <c r="R204" i="18"/>
  <c r="R189" i="18"/>
  <c r="R188" i="18"/>
  <c r="R180" i="18"/>
  <c r="R172" i="18"/>
  <c r="R156" i="18"/>
  <c r="R152" i="18"/>
  <c r="R148" i="18"/>
  <c r="R250" i="18"/>
  <c r="R223" i="18"/>
  <c r="R222" i="18"/>
  <c r="R206" i="18"/>
  <c r="R190" i="18"/>
  <c r="R166" i="18"/>
  <c r="R162" i="18"/>
  <c r="R251" i="18"/>
  <c r="R217" i="18"/>
  <c r="R198" i="18"/>
  <c r="R197" i="18"/>
  <c r="R182" i="18"/>
  <c r="R181" i="18"/>
  <c r="R174" i="18"/>
  <c r="R173" i="18"/>
  <c r="R158" i="18"/>
  <c r="R157" i="18"/>
  <c r="R153" i="18"/>
  <c r="R149" i="18"/>
  <c r="R234" i="18"/>
  <c r="R218" i="18"/>
  <c r="R154" i="18"/>
  <c r="R150" i="18"/>
  <c r="R229" i="18"/>
  <c r="R207" i="18"/>
  <c r="R210" i="18"/>
  <c r="R199" i="18"/>
  <c r="R176" i="18"/>
  <c r="R163" i="18"/>
  <c r="R142" i="18"/>
  <c r="R138" i="18"/>
  <c r="R134" i="18"/>
  <c r="R130" i="18"/>
  <c r="R126" i="18"/>
  <c r="R122" i="18"/>
  <c r="R118" i="18"/>
  <c r="R114" i="18"/>
  <c r="R110" i="18"/>
  <c r="R106" i="18"/>
  <c r="R102" i="18"/>
  <c r="R98" i="18"/>
  <c r="R227" i="18"/>
  <c r="R213" i="18"/>
  <c r="R191" i="18"/>
  <c r="R168" i="18"/>
  <c r="R161" i="18"/>
  <c r="R94" i="18"/>
  <c r="R255" i="18"/>
  <c r="R240" i="18"/>
  <c r="R232" i="18"/>
  <c r="R192" i="18"/>
  <c r="R159" i="18"/>
  <c r="R249" i="18"/>
  <c r="R225" i="18"/>
  <c r="R211" i="18"/>
  <c r="R208" i="18"/>
  <c r="R184" i="18"/>
  <c r="R144" i="18"/>
  <c r="R139" i="18"/>
  <c r="R135" i="18"/>
  <c r="R131" i="18"/>
  <c r="R127" i="18"/>
  <c r="R123" i="18"/>
  <c r="R119" i="18"/>
  <c r="R115" i="18"/>
  <c r="R111" i="18"/>
  <c r="R107" i="18"/>
  <c r="R103" i="18"/>
  <c r="R99" i="18"/>
  <c r="R95" i="18"/>
  <c r="R237" i="18"/>
  <c r="R200" i="18"/>
  <c r="R169" i="18"/>
  <c r="P144" i="18"/>
  <c r="R247" i="18"/>
  <c r="R233" i="18"/>
  <c r="R195" i="18"/>
  <c r="R177" i="18"/>
  <c r="R164" i="18"/>
  <c r="R146" i="18"/>
  <c r="R228" i="18"/>
  <c r="R185" i="18"/>
  <c r="R147" i="18"/>
  <c r="R140" i="18"/>
  <c r="R136" i="18"/>
  <c r="R132" i="18"/>
  <c r="R128" i="18"/>
  <c r="R124" i="18"/>
  <c r="R120" i="18"/>
  <c r="R116" i="18"/>
  <c r="R112" i="18"/>
  <c r="R108" i="18"/>
  <c r="R104" i="18"/>
  <c r="R100" i="18"/>
  <c r="R96" i="18"/>
  <c r="X12" i="18"/>
  <c r="Z12" i="18" s="1"/>
  <c r="R241" i="18"/>
  <c r="R238" i="18"/>
  <c r="R201" i="18"/>
  <c r="R193" i="18"/>
  <c r="R212" i="18"/>
  <c r="R196" i="18"/>
  <c r="R160" i="18"/>
  <c r="R242" i="18"/>
  <c r="R239" i="18"/>
  <c r="R224" i="18"/>
  <c r="R183" i="18"/>
  <c r="R175" i="18"/>
  <c r="R165" i="18"/>
  <c r="R97" i="18"/>
  <c r="R101" i="18"/>
  <c r="R105" i="18"/>
  <c r="R109" i="18"/>
  <c r="R113" i="18"/>
  <c r="R117" i="18"/>
  <c r="R121" i="18"/>
  <c r="R167" i="18"/>
  <c r="R125" i="18"/>
  <c r="R129" i="18"/>
  <c r="R133" i="18"/>
  <c r="R231" i="18"/>
  <c r="R209" i="18"/>
  <c r="R141" i="18"/>
  <c r="R137" i="18"/>
  <c r="R221" i="18"/>
  <c r="T232" i="15"/>
  <c r="T239" i="12"/>
  <c r="X18" i="52"/>
  <c r="P27" i="52"/>
  <c r="N18" i="49"/>
  <c r="H27" i="49"/>
  <c r="T27" i="53"/>
  <c r="Z18" i="53"/>
  <c r="X18" i="40"/>
  <c r="P27" i="40"/>
  <c r="H27" i="37"/>
  <c r="N18" i="37"/>
  <c r="T27" i="32"/>
  <c r="Z18" i="32"/>
  <c r="T27" i="23"/>
  <c r="Z18" i="23"/>
  <c r="T27" i="20"/>
  <c r="Z18" i="20"/>
  <c r="L18" i="14"/>
  <c r="D27" i="14"/>
  <c r="D27" i="8"/>
  <c r="L18" i="8"/>
  <c r="H27" i="7"/>
  <c r="N18" i="7"/>
  <c r="X27" i="50" l="1"/>
  <c r="P31" i="50"/>
  <c r="N27" i="26"/>
  <c r="H31" i="26"/>
  <c r="N27" i="8"/>
  <c r="H31" i="8"/>
  <c r="L27" i="23"/>
  <c r="D31" i="23"/>
  <c r="Z27" i="53"/>
  <c r="T31" i="53"/>
  <c r="T31" i="23"/>
  <c r="Z27" i="23"/>
  <c r="P31" i="41"/>
  <c r="X27" i="41"/>
  <c r="H112" i="71"/>
  <c r="J108" i="71"/>
  <c r="V93" i="95"/>
  <c r="P31" i="100"/>
  <c r="X27" i="100"/>
  <c r="P112" i="51"/>
  <c r="X108" i="51"/>
  <c r="R108" i="51"/>
  <c r="T96" i="64"/>
  <c r="V92" i="64"/>
  <c r="D47" i="90"/>
  <c r="N27" i="13"/>
  <c r="H31" i="13"/>
  <c r="H31" i="25"/>
  <c r="N27" i="25"/>
  <c r="H26" i="54"/>
  <c r="N22" i="54"/>
  <c r="D31" i="38"/>
  <c r="L27" i="38"/>
  <c r="L18" i="82"/>
  <c r="D78" i="82"/>
  <c r="T277" i="3"/>
  <c r="V273" i="3"/>
  <c r="X18" i="65"/>
  <c r="Z18" i="65" s="1"/>
  <c r="P66" i="65"/>
  <c r="Z27" i="4"/>
  <c r="T31" i="4"/>
  <c r="T31" i="38"/>
  <c r="Z27" i="38"/>
  <c r="N27" i="100"/>
  <c r="H31" i="100"/>
  <c r="P112" i="71"/>
  <c r="X108" i="71"/>
  <c r="R108" i="71"/>
  <c r="L58" i="91"/>
  <c r="D62" i="91"/>
  <c r="P31" i="46"/>
  <c r="X27" i="46"/>
  <c r="T37" i="55"/>
  <c r="X27" i="31"/>
  <c r="P31" i="31"/>
  <c r="L30" i="78"/>
  <c r="F30" i="78"/>
  <c r="D34" i="78"/>
  <c r="T62" i="91"/>
  <c r="Z27" i="37"/>
  <c r="T31" i="37"/>
  <c r="Z27" i="98"/>
  <c r="T31" i="98"/>
  <c r="T175" i="30"/>
  <c r="V171" i="30"/>
  <c r="N27" i="20"/>
  <c r="H31" i="20"/>
  <c r="D31" i="99"/>
  <c r="L27" i="99"/>
  <c r="P171" i="30"/>
  <c r="X78" i="30"/>
  <c r="Z78" i="30" s="1"/>
  <c r="Z75" i="48"/>
  <c r="T79" i="48"/>
  <c r="V75" i="48"/>
  <c r="V56" i="75"/>
  <c r="D122" i="77"/>
  <c r="L44" i="77"/>
  <c r="N44" i="77" s="1"/>
  <c r="H277" i="3"/>
  <c r="J273" i="3"/>
  <c r="T34" i="89"/>
  <c r="D107" i="62"/>
  <c r="L103" i="62"/>
  <c r="N103" i="62" s="1"/>
  <c r="T63" i="60"/>
  <c r="Z27" i="32"/>
  <c r="T31" i="32"/>
  <c r="P31" i="23"/>
  <c r="X27" i="23"/>
  <c r="X44" i="77"/>
  <c r="Z44" i="77" s="1"/>
  <c r="P122" i="77"/>
  <c r="L27" i="22"/>
  <c r="D31" i="22"/>
  <c r="H132" i="39"/>
  <c r="N128" i="39"/>
  <c r="J128" i="39"/>
  <c r="H75" i="59"/>
  <c r="P64" i="61"/>
  <c r="X60" i="61"/>
  <c r="P84" i="56"/>
  <c r="X80" i="56"/>
  <c r="Z80" i="56" s="1"/>
  <c r="T83" i="84"/>
  <c r="X83" i="84" s="1"/>
  <c r="P34" i="89"/>
  <c r="X30" i="89"/>
  <c r="Z30" i="89" s="1"/>
  <c r="T31" i="29"/>
  <c r="Z27" i="29"/>
  <c r="H66" i="60"/>
  <c r="L27" i="20"/>
  <c r="D31" i="20"/>
  <c r="X124" i="12"/>
  <c r="Z124" i="12" s="1"/>
  <c r="P235" i="12"/>
  <c r="D80" i="83"/>
  <c r="L19" i="83"/>
  <c r="H83" i="84"/>
  <c r="T102" i="94"/>
  <c r="V98" i="94"/>
  <c r="X273" i="3"/>
  <c r="Z273" i="3" s="1"/>
  <c r="P277" i="3"/>
  <c r="R273" i="3"/>
  <c r="L27" i="19"/>
  <c r="D31" i="19"/>
  <c r="Z60" i="61"/>
  <c r="T64" i="61"/>
  <c r="X27" i="5"/>
  <c r="P31" i="5"/>
  <c r="D228" i="15"/>
  <c r="L120" i="15"/>
  <c r="N120" i="15" s="1"/>
  <c r="P74" i="74"/>
  <c r="X70" i="74"/>
  <c r="Z70" i="74" s="1"/>
  <c r="P86" i="84"/>
  <c r="R83" i="84"/>
  <c r="N27" i="35"/>
  <c r="H31" i="35"/>
  <c r="H26" i="6"/>
  <c r="N22" i="6"/>
  <c r="D95" i="92"/>
  <c r="L91" i="92"/>
  <c r="H79" i="48"/>
  <c r="J75" i="48"/>
  <c r="T31" i="96"/>
  <c r="Z31" i="96" s="1"/>
  <c r="Z28" i="96"/>
  <c r="T63" i="88"/>
  <c r="T242" i="12"/>
  <c r="V239" i="12"/>
  <c r="X27" i="16"/>
  <c r="P31" i="16"/>
  <c r="D31" i="11"/>
  <c r="L27" i="11"/>
  <c r="T86" i="73"/>
  <c r="V83" i="73"/>
  <c r="T107" i="9"/>
  <c r="H126" i="77"/>
  <c r="J122" i="77"/>
  <c r="D31" i="28"/>
  <c r="L27" i="28"/>
  <c r="T235" i="15"/>
  <c r="V232" i="15"/>
  <c r="Z27" i="7"/>
  <c r="T31" i="7"/>
  <c r="T31" i="100"/>
  <c r="Z27" i="100"/>
  <c r="L22" i="54"/>
  <c r="D26" i="54"/>
  <c r="D49" i="75"/>
  <c r="L23" i="75"/>
  <c r="N23" i="75" s="1"/>
  <c r="X20" i="86"/>
  <c r="P86" i="86"/>
  <c r="P28" i="93"/>
  <c r="X24" i="93"/>
  <c r="P31" i="44"/>
  <c r="X27" i="44"/>
  <c r="H81" i="57"/>
  <c r="Z27" i="44"/>
  <c r="T31" i="44"/>
  <c r="D31" i="6"/>
  <c r="L26" i="6"/>
  <c r="L33" i="55"/>
  <c r="N33" i="55" s="1"/>
  <c r="D37" i="55"/>
  <c r="N27" i="38"/>
  <c r="H31" i="38"/>
  <c r="H124" i="27"/>
  <c r="J120" i="27"/>
  <c r="P28" i="96"/>
  <c r="X24" i="96"/>
  <c r="T31" i="41"/>
  <c r="Z27" i="41"/>
  <c r="Z63" i="63"/>
  <c r="T67" i="63"/>
  <c r="Z27" i="26"/>
  <c r="T31" i="26"/>
  <c r="P31" i="38"/>
  <c r="X27" i="38"/>
  <c r="H86" i="73"/>
  <c r="J83" i="73"/>
  <c r="L27" i="46"/>
  <c r="D31" i="46"/>
  <c r="Z22" i="6"/>
  <c r="T26" i="6"/>
  <c r="X22" i="6"/>
  <c r="D120" i="27"/>
  <c r="L55" i="27"/>
  <c r="N55" i="27" s="1"/>
  <c r="H80" i="58"/>
  <c r="L70" i="65"/>
  <c r="D73" i="65"/>
  <c r="L73" i="65" s="1"/>
  <c r="L22" i="73"/>
  <c r="N22" i="73" s="1"/>
  <c r="D79" i="73"/>
  <c r="T85" i="82"/>
  <c r="X59" i="60"/>
  <c r="Z59" i="60" s="1"/>
  <c r="P63" i="60"/>
  <c r="N27" i="50"/>
  <c r="H31" i="50"/>
  <c r="N27" i="47"/>
  <c r="H31" i="47"/>
  <c r="H135" i="36"/>
  <c r="J132" i="36"/>
  <c r="D70" i="74"/>
  <c r="L19" i="74"/>
  <c r="H77" i="74"/>
  <c r="P30" i="78"/>
  <c r="X20" i="78"/>
  <c r="Z20" i="78" s="1"/>
  <c r="X79" i="84"/>
  <c r="Z79" i="84" s="1"/>
  <c r="L27" i="29"/>
  <c r="D31" i="29"/>
  <c r="L98" i="94"/>
  <c r="D102" i="94"/>
  <c r="F98" i="94"/>
  <c r="T100" i="24"/>
  <c r="V96" i="24"/>
  <c r="X22" i="54"/>
  <c r="P26" i="54"/>
  <c r="D83" i="70"/>
  <c r="L28" i="70"/>
  <c r="N28" i="70" s="1"/>
  <c r="L124" i="12"/>
  <c r="N124" i="12" s="1"/>
  <c r="D235" i="12"/>
  <c r="N27" i="7"/>
  <c r="H31" i="7"/>
  <c r="H31" i="37"/>
  <c r="N27" i="37"/>
  <c r="H106" i="45"/>
  <c r="J102" i="45"/>
  <c r="P31" i="13"/>
  <c r="X27" i="13"/>
  <c r="R44" i="77"/>
  <c r="L27" i="4"/>
  <c r="D31" i="4"/>
  <c r="Z27" i="31"/>
  <c r="T31" i="31"/>
  <c r="X103" i="9"/>
  <c r="Z103" i="9" s="1"/>
  <c r="P107" i="9"/>
  <c r="Z107" i="62"/>
  <c r="T110" i="62"/>
  <c r="P119" i="66"/>
  <c r="X54" i="66"/>
  <c r="Z54" i="66" s="1"/>
  <c r="R54" i="66"/>
  <c r="X80" i="83"/>
  <c r="Z80" i="83" s="1"/>
  <c r="P84" i="83"/>
  <c r="D90" i="86"/>
  <c r="L86" i="86"/>
  <c r="N86" i="86" s="1"/>
  <c r="H31" i="17"/>
  <c r="N27" i="17"/>
  <c r="R82" i="97"/>
  <c r="P31" i="22"/>
  <c r="X27" i="22"/>
  <c r="L27" i="47"/>
  <c r="D31" i="47"/>
  <c r="T78" i="67"/>
  <c r="V74" i="67"/>
  <c r="X128" i="36"/>
  <c r="Z128" i="36" s="1"/>
  <c r="P132" i="36"/>
  <c r="R128" i="36"/>
  <c r="H79" i="97"/>
  <c r="J75" i="97"/>
  <c r="H31" i="10"/>
  <c r="N27" i="10"/>
  <c r="L32" i="80"/>
  <c r="N32" i="80" s="1"/>
  <c r="D36" i="80"/>
  <c r="T77" i="74"/>
  <c r="L27" i="17"/>
  <c r="D31" i="17"/>
  <c r="X27" i="53"/>
  <c r="P31" i="53"/>
  <c r="T75" i="59"/>
  <c r="X17" i="57"/>
  <c r="P74" i="57"/>
  <c r="D31" i="96"/>
  <c r="L28" i="96"/>
  <c r="T31" i="40"/>
  <c r="Z27" i="40"/>
  <c r="T31" i="28"/>
  <c r="Z27" i="28"/>
  <c r="H93" i="33"/>
  <c r="J90" i="33"/>
  <c r="N58" i="91"/>
  <c r="H62" i="91"/>
  <c r="L77" i="69"/>
  <c r="N77" i="69" s="1"/>
  <c r="D153" i="69"/>
  <c r="D90" i="33"/>
  <c r="L86" i="33"/>
  <c r="N86" i="33" s="1"/>
  <c r="F86" i="33"/>
  <c r="P31" i="40"/>
  <c r="X27" i="40"/>
  <c r="D109" i="21"/>
  <c r="L27" i="21"/>
  <c r="N27" i="21" s="1"/>
  <c r="P79" i="48"/>
  <c r="X75" i="48"/>
  <c r="R75" i="48"/>
  <c r="N27" i="29"/>
  <c r="H31" i="29"/>
  <c r="H125" i="42"/>
  <c r="J121" i="42"/>
  <c r="Z27" i="5"/>
  <c r="T31" i="5"/>
  <c r="N27" i="43"/>
  <c r="H31" i="43"/>
  <c r="H107" i="9"/>
  <c r="X71" i="59"/>
  <c r="Z71" i="59" s="1"/>
  <c r="P75" i="59"/>
  <c r="X27" i="25"/>
  <c r="P31" i="25"/>
  <c r="L27" i="41"/>
  <c r="D31" i="41"/>
  <c r="X63" i="63"/>
  <c r="P67" i="63"/>
  <c r="N27" i="22"/>
  <c r="H31" i="22"/>
  <c r="N27" i="52"/>
  <c r="H31" i="52"/>
  <c r="D37" i="89"/>
  <c r="L27" i="16"/>
  <c r="D31" i="16"/>
  <c r="D257" i="18"/>
  <c r="L253" i="18"/>
  <c r="F253" i="18"/>
  <c r="F55" i="27"/>
  <c r="X32" i="39"/>
  <c r="Z32" i="39" s="1"/>
  <c r="P128" i="39"/>
  <c r="L59" i="60"/>
  <c r="N59" i="60" s="1"/>
  <c r="D63" i="60"/>
  <c r="H56" i="75"/>
  <c r="J53" i="75"/>
  <c r="N27" i="14"/>
  <c r="H31" i="14"/>
  <c r="D31" i="49"/>
  <c r="L27" i="49"/>
  <c r="L38" i="24"/>
  <c r="N38" i="24" s="1"/>
  <c r="D96" i="24"/>
  <c r="T132" i="39"/>
  <c r="V128" i="39"/>
  <c r="H106" i="85"/>
  <c r="J103" i="85"/>
  <c r="N24" i="93"/>
  <c r="H28" i="93"/>
  <c r="D31" i="52"/>
  <c r="L27" i="52"/>
  <c r="X120" i="15"/>
  <c r="Z120" i="15" s="1"/>
  <c r="P228" i="15"/>
  <c r="Z27" i="34"/>
  <c r="T31" i="34"/>
  <c r="D75" i="97"/>
  <c r="L17" i="97"/>
  <c r="N17" i="97" s="1"/>
  <c r="P78" i="67"/>
  <c r="X74" i="67"/>
  <c r="Z74" i="67" s="1"/>
  <c r="T94" i="81"/>
  <c r="N30" i="89"/>
  <c r="H34" i="89"/>
  <c r="D92" i="64"/>
  <c r="L35" i="64"/>
  <c r="N35" i="64" s="1"/>
  <c r="L27" i="13"/>
  <c r="D31" i="13"/>
  <c r="Z27" i="17"/>
  <c r="T31" i="17"/>
  <c r="L27" i="8"/>
  <c r="D31" i="8"/>
  <c r="L27" i="37"/>
  <c r="D31" i="37"/>
  <c r="H232" i="15"/>
  <c r="J228" i="15"/>
  <c r="L28" i="36"/>
  <c r="N28" i="36" s="1"/>
  <c r="D128" i="36"/>
  <c r="F28" i="36"/>
  <c r="L49" i="51"/>
  <c r="N49" i="51" s="1"/>
  <c r="D108" i="51"/>
  <c r="D83" i="84"/>
  <c r="L79" i="84"/>
  <c r="N79" i="84" s="1"/>
  <c r="H90" i="95"/>
  <c r="J86" i="95"/>
  <c r="H178" i="30"/>
  <c r="J175" i="30"/>
  <c r="X23" i="45"/>
  <c r="Z23" i="45" s="1"/>
  <c r="P102" i="45"/>
  <c r="L27" i="26"/>
  <c r="D31" i="26"/>
  <c r="Z26" i="54"/>
  <c r="T31" i="54"/>
  <c r="P31" i="99"/>
  <c r="X27" i="99"/>
  <c r="H112" i="51"/>
  <c r="J108" i="51"/>
  <c r="H31" i="96"/>
  <c r="N31" i="96" s="1"/>
  <c r="N28" i="96"/>
  <c r="P31" i="47"/>
  <c r="X27" i="47"/>
  <c r="L27" i="100"/>
  <c r="D31" i="100"/>
  <c r="T157" i="69"/>
  <c r="Z153" i="69"/>
  <c r="V153" i="69"/>
  <c r="X27" i="49"/>
  <c r="P31" i="49"/>
  <c r="T94" i="76"/>
  <c r="Z90" i="76"/>
  <c r="V90" i="76"/>
  <c r="Z27" i="35"/>
  <c r="T31" i="35"/>
  <c r="Z27" i="10"/>
  <c r="T31" i="10"/>
  <c r="D84" i="56"/>
  <c r="L80" i="56"/>
  <c r="N80" i="56" s="1"/>
  <c r="T79" i="97"/>
  <c r="X75" i="97"/>
  <c r="Z75" i="97" s="1"/>
  <c r="V75" i="97"/>
  <c r="L27" i="98"/>
  <c r="D31" i="98"/>
  <c r="L27" i="14"/>
  <c r="D31" i="14"/>
  <c r="T31" i="13"/>
  <c r="Z27" i="13"/>
  <c r="F23" i="75"/>
  <c r="L60" i="88"/>
  <c r="D63" i="88"/>
  <c r="H31" i="5"/>
  <c r="N27" i="5"/>
  <c r="N27" i="41"/>
  <c r="H31" i="41"/>
  <c r="H113" i="21"/>
  <c r="J109" i="21"/>
  <c r="H64" i="61"/>
  <c r="D91" i="79"/>
  <c r="L20" i="79"/>
  <c r="P31" i="26"/>
  <c r="X27" i="26"/>
  <c r="N27" i="46"/>
  <c r="H31" i="46"/>
  <c r="T257" i="18"/>
  <c r="V253" i="18"/>
  <c r="T80" i="58"/>
  <c r="N28" i="87"/>
  <c r="H32" i="87"/>
  <c r="X27" i="4"/>
  <c r="P31" i="4"/>
  <c r="Z27" i="49"/>
  <c r="T31" i="49"/>
  <c r="D67" i="63"/>
  <c r="L63" i="63"/>
  <c r="Z27" i="11"/>
  <c r="T31" i="11"/>
  <c r="N27" i="23"/>
  <c r="H31" i="23"/>
  <c r="P62" i="91"/>
  <c r="X58" i="91"/>
  <c r="Z58" i="91" s="1"/>
  <c r="L27" i="25"/>
  <c r="D31" i="25"/>
  <c r="N27" i="99"/>
  <c r="H31" i="99"/>
  <c r="R32" i="39"/>
  <c r="Z108" i="71"/>
  <c r="T112" i="71"/>
  <c r="V108" i="71"/>
  <c r="X99" i="85"/>
  <c r="P103" i="85"/>
  <c r="R99" i="85"/>
  <c r="Z28" i="93"/>
  <c r="T31" i="93"/>
  <c r="Z31" i="93" s="1"/>
  <c r="Z27" i="47"/>
  <c r="T31" i="47"/>
  <c r="P31" i="20"/>
  <c r="X27" i="20"/>
  <c r="H40" i="55"/>
  <c r="X28" i="70"/>
  <c r="Z28" i="70" s="1"/>
  <c r="P83" i="70"/>
  <c r="P91" i="81"/>
  <c r="X87" i="81"/>
  <c r="Z87" i="81" s="1"/>
  <c r="Z99" i="85"/>
  <c r="T103" i="85"/>
  <c r="V99" i="85"/>
  <c r="X27" i="10"/>
  <c r="P31" i="10"/>
  <c r="L27" i="31"/>
  <c r="D31" i="31"/>
  <c r="L27" i="7"/>
  <c r="D31" i="7"/>
  <c r="X27" i="37"/>
  <c r="P31" i="37"/>
  <c r="R78" i="30"/>
  <c r="L128" i="39"/>
  <c r="D132" i="39"/>
  <c r="F128" i="39"/>
  <c r="N30" i="78"/>
  <c r="H34" i="78"/>
  <c r="J30" i="78"/>
  <c r="L27" i="32"/>
  <c r="D31" i="32"/>
  <c r="H84" i="56"/>
  <c r="P31" i="7"/>
  <c r="X27" i="7"/>
  <c r="P31" i="34"/>
  <c r="X27" i="34"/>
  <c r="D79" i="48"/>
  <c r="L75" i="48"/>
  <c r="N75" i="48" s="1"/>
  <c r="F75" i="48"/>
  <c r="P80" i="58"/>
  <c r="X76" i="58"/>
  <c r="Z76" i="58" s="1"/>
  <c r="P102" i="94"/>
  <c r="X98" i="94"/>
  <c r="Z98" i="94" s="1"/>
  <c r="R98" i="94"/>
  <c r="P31" i="28"/>
  <c r="X27" i="28"/>
  <c r="H160" i="69"/>
  <c r="J157" i="69"/>
  <c r="X27" i="32"/>
  <c r="P31" i="32"/>
  <c r="P31" i="14"/>
  <c r="X27" i="14"/>
  <c r="H100" i="24"/>
  <c r="J96" i="24"/>
  <c r="T78" i="57"/>
  <c r="T129" i="77"/>
  <c r="V126" i="77"/>
  <c r="N40" i="90"/>
  <c r="H44" i="90"/>
  <c r="L44" i="90" s="1"/>
  <c r="L27" i="34"/>
  <c r="D31" i="34"/>
  <c r="L74" i="57"/>
  <c r="N74" i="57" s="1"/>
  <c r="D78" i="57"/>
  <c r="L76" i="58"/>
  <c r="N76" i="58" s="1"/>
  <c r="D80" i="58"/>
  <c r="H31" i="11"/>
  <c r="N27" i="11"/>
  <c r="N253" i="18"/>
  <c r="H257" i="18"/>
  <c r="J253" i="18"/>
  <c r="D31" i="5"/>
  <c r="L27" i="5"/>
  <c r="L27" i="43"/>
  <c r="D31" i="43"/>
  <c r="P113" i="21"/>
  <c r="X109" i="21"/>
  <c r="R109" i="21"/>
  <c r="L27" i="44"/>
  <c r="D31" i="44"/>
  <c r="T123" i="66"/>
  <c r="V119" i="66"/>
  <c r="L74" i="67"/>
  <c r="N74" i="67" s="1"/>
  <c r="D78" i="67"/>
  <c r="X27" i="43"/>
  <c r="P31" i="43"/>
  <c r="N27" i="49"/>
  <c r="H31" i="49"/>
  <c r="T31" i="16"/>
  <c r="Z27" i="16"/>
  <c r="H31" i="40"/>
  <c r="N27" i="40"/>
  <c r="H78" i="67"/>
  <c r="J74" i="67"/>
  <c r="H82" i="82"/>
  <c r="H87" i="70"/>
  <c r="J83" i="70"/>
  <c r="D31" i="53"/>
  <c r="L27" i="53"/>
  <c r="X107" i="62"/>
  <c r="P110" i="62"/>
  <c r="X110" i="62" s="1"/>
  <c r="L121" i="42"/>
  <c r="N121" i="42" s="1"/>
  <c r="D125" i="42"/>
  <c r="F121" i="42"/>
  <c r="P94" i="76"/>
  <c r="X90" i="76"/>
  <c r="P31" i="35"/>
  <c r="X27" i="35"/>
  <c r="X32" i="80"/>
  <c r="P36" i="80"/>
  <c r="P60" i="88"/>
  <c r="X56" i="88"/>
  <c r="Z56" i="88" s="1"/>
  <c r="D107" i="9"/>
  <c r="L103" i="9"/>
  <c r="N103" i="9" s="1"/>
  <c r="H96" i="64"/>
  <c r="J92" i="64"/>
  <c r="H39" i="80"/>
  <c r="H95" i="92"/>
  <c r="N91" i="92"/>
  <c r="J91" i="92"/>
  <c r="P31" i="19"/>
  <c r="X27" i="19"/>
  <c r="H126" i="66"/>
  <c r="J123" i="66"/>
  <c r="T31" i="99"/>
  <c r="Z27" i="99"/>
  <c r="H87" i="83"/>
  <c r="N27" i="28"/>
  <c r="H31" i="28"/>
  <c r="R20" i="78"/>
  <c r="T32" i="87"/>
  <c r="Z28" i="87"/>
  <c r="X27" i="11"/>
  <c r="P31" i="11"/>
  <c r="L27" i="10"/>
  <c r="D31" i="10"/>
  <c r="X19" i="95"/>
  <c r="Z19" i="95" s="1"/>
  <c r="P86" i="95"/>
  <c r="L87" i="81"/>
  <c r="N87" i="81" s="1"/>
  <c r="D91" i="81"/>
  <c r="N27" i="19"/>
  <c r="H31" i="19"/>
  <c r="X79" i="73"/>
  <c r="Z79" i="73" s="1"/>
  <c r="P83" i="73"/>
  <c r="R79" i="73"/>
  <c r="Z32" i="80"/>
  <c r="T36" i="80"/>
  <c r="Z27" i="25"/>
  <c r="T31" i="25"/>
  <c r="H97" i="76"/>
  <c r="J94" i="76"/>
  <c r="Z27" i="20"/>
  <c r="T31" i="20"/>
  <c r="P253" i="18"/>
  <c r="X144" i="18"/>
  <c r="Z144" i="18" s="1"/>
  <c r="F27" i="21"/>
  <c r="D123" i="66"/>
  <c r="L119" i="66"/>
  <c r="N119" i="66" s="1"/>
  <c r="F119" i="66"/>
  <c r="P31" i="17"/>
  <c r="X27" i="17"/>
  <c r="P124" i="27"/>
  <c r="X120" i="27"/>
  <c r="Z120" i="27" s="1"/>
  <c r="R120" i="27"/>
  <c r="L27" i="40"/>
  <c r="D31" i="40"/>
  <c r="F49" i="51"/>
  <c r="Z91" i="92"/>
  <c r="T95" i="92"/>
  <c r="V91" i="92"/>
  <c r="D86" i="95"/>
  <c r="L19" i="95"/>
  <c r="N19" i="95" s="1"/>
  <c r="T127" i="27"/>
  <c r="V124" i="27"/>
  <c r="X91" i="92"/>
  <c r="P95" i="92"/>
  <c r="R91" i="92"/>
  <c r="H31" i="4"/>
  <c r="N27" i="4"/>
  <c r="T31" i="22"/>
  <c r="Z27" i="22"/>
  <c r="Z27" i="52"/>
  <c r="T31" i="52"/>
  <c r="P96" i="24"/>
  <c r="X38" i="24"/>
  <c r="Z38" i="24" s="1"/>
  <c r="D171" i="30"/>
  <c r="L78" i="30"/>
  <c r="N78" i="30" s="1"/>
  <c r="T87" i="70"/>
  <c r="V83" i="70"/>
  <c r="L27" i="35"/>
  <c r="D31" i="35"/>
  <c r="H107" i="62"/>
  <c r="L60" i="61"/>
  <c r="N60" i="61" s="1"/>
  <c r="D75" i="59"/>
  <c r="L71" i="59"/>
  <c r="N71" i="59" s="1"/>
  <c r="N70" i="65"/>
  <c r="H73" i="65"/>
  <c r="N73" i="65" s="1"/>
  <c r="Z27" i="14"/>
  <c r="T31" i="14"/>
  <c r="N27" i="98"/>
  <c r="H31" i="98"/>
  <c r="P157" i="69"/>
  <c r="X153" i="69"/>
  <c r="R153" i="69"/>
  <c r="P32" i="87"/>
  <c r="X28" i="87"/>
  <c r="R28" i="87"/>
  <c r="P31" i="29"/>
  <c r="X27" i="29"/>
  <c r="D273" i="3"/>
  <c r="L154" i="3"/>
  <c r="N154" i="3" s="1"/>
  <c r="P37" i="55"/>
  <c r="X33" i="55"/>
  <c r="Z33" i="55" s="1"/>
  <c r="T90" i="86"/>
  <c r="H31" i="32"/>
  <c r="N27" i="32"/>
  <c r="N27" i="44"/>
  <c r="H31" i="44"/>
  <c r="N27" i="53"/>
  <c r="H31" i="53"/>
  <c r="P49" i="75"/>
  <c r="X23" i="75"/>
  <c r="Z23" i="75" s="1"/>
  <c r="R23" i="75"/>
  <c r="D32" i="87"/>
  <c r="L28" i="87"/>
  <c r="F28" i="87"/>
  <c r="T37" i="78"/>
  <c r="V34" i="78"/>
  <c r="P86" i="33"/>
  <c r="X30" i="33"/>
  <c r="Z30" i="33" s="1"/>
  <c r="Z27" i="43"/>
  <c r="T31" i="43"/>
  <c r="X91" i="79"/>
  <c r="Z91" i="79" s="1"/>
  <c r="P95" i="79"/>
  <c r="V128" i="42"/>
  <c r="X27" i="52"/>
  <c r="P31" i="52"/>
  <c r="L27" i="50"/>
  <c r="D31" i="50"/>
  <c r="T87" i="56"/>
  <c r="Z27" i="19"/>
  <c r="T31" i="19"/>
  <c r="T132" i="36"/>
  <c r="V128" i="36"/>
  <c r="F44" i="77"/>
  <c r="N27" i="34"/>
  <c r="H31" i="34"/>
  <c r="Z27" i="50"/>
  <c r="T31" i="50"/>
  <c r="F77" i="69"/>
  <c r="D112" i="71"/>
  <c r="L108" i="71"/>
  <c r="N108" i="71" s="1"/>
  <c r="F108" i="71"/>
  <c r="D99" i="85"/>
  <c r="L23" i="85"/>
  <c r="N23" i="85" s="1"/>
  <c r="X27" i="98"/>
  <c r="P31" i="98"/>
  <c r="N27" i="16"/>
  <c r="H31" i="16"/>
  <c r="P121" i="42"/>
  <c r="X26" i="42"/>
  <c r="Z26" i="42" s="1"/>
  <c r="X78" i="82"/>
  <c r="Z78" i="82" s="1"/>
  <c r="P82" i="82"/>
  <c r="Z44" i="90"/>
  <c r="T47" i="90"/>
  <c r="L64" i="61"/>
  <c r="D67" i="61"/>
  <c r="N27" i="31"/>
  <c r="H31" i="31"/>
  <c r="X35" i="64"/>
  <c r="Z35" i="64" s="1"/>
  <c r="P92" i="64"/>
  <c r="H91" i="81"/>
  <c r="N98" i="94"/>
  <c r="H102" i="94"/>
  <c r="J98" i="94"/>
  <c r="H67" i="63"/>
  <c r="N63" i="63"/>
  <c r="T90" i="33"/>
  <c r="V86" i="33"/>
  <c r="Z108" i="51"/>
  <c r="T112" i="51"/>
  <c r="V108" i="51"/>
  <c r="L90" i="76"/>
  <c r="N90" i="76" s="1"/>
  <c r="D94" i="76"/>
  <c r="T31" i="8"/>
  <c r="Z27" i="8"/>
  <c r="Z27" i="46"/>
  <c r="T31" i="46"/>
  <c r="H239" i="12"/>
  <c r="J235" i="12"/>
  <c r="D31" i="93"/>
  <c r="L28" i="93"/>
  <c r="T113" i="21"/>
  <c r="Z109" i="21"/>
  <c r="V109" i="21"/>
  <c r="P31" i="8"/>
  <c r="X27" i="8"/>
  <c r="D102" i="45"/>
  <c r="L23" i="45"/>
  <c r="N23" i="45" s="1"/>
  <c r="H95" i="79"/>
  <c r="N56" i="88"/>
  <c r="H60" i="88"/>
  <c r="T36" i="8" l="1"/>
  <c r="Z36" i="8" s="1"/>
  <c r="Z31" i="8"/>
  <c r="Z31" i="14"/>
  <c r="T36" i="14"/>
  <c r="Z36" i="14" s="1"/>
  <c r="Z32" i="87"/>
  <c r="T35" i="87"/>
  <c r="Z35" i="87" s="1"/>
  <c r="P36" i="26"/>
  <c r="X31" i="26"/>
  <c r="X132" i="36"/>
  <c r="P135" i="36"/>
  <c r="R132" i="36"/>
  <c r="X112" i="51"/>
  <c r="P115" i="51"/>
  <c r="R112" i="51"/>
  <c r="P53" i="75"/>
  <c r="X49" i="75"/>
  <c r="Z49" i="75" s="1"/>
  <c r="R49" i="75"/>
  <c r="N31" i="19"/>
  <c r="H36" i="19"/>
  <c r="N36" i="19" s="1"/>
  <c r="D36" i="53"/>
  <c r="L31" i="53"/>
  <c r="L31" i="19"/>
  <c r="D36" i="19"/>
  <c r="Z31" i="46"/>
  <c r="T36" i="46"/>
  <c r="Z36" i="46" s="1"/>
  <c r="D103" i="85"/>
  <c r="L99" i="85"/>
  <c r="N99" i="85" s="1"/>
  <c r="F99" i="85"/>
  <c r="T98" i="92"/>
  <c r="V95" i="92"/>
  <c r="H70" i="63"/>
  <c r="N70" i="63" s="1"/>
  <c r="N67" i="63"/>
  <c r="D35" i="87"/>
  <c r="L32" i="87"/>
  <c r="F32" i="87"/>
  <c r="N31" i="98"/>
  <c r="H36" i="98"/>
  <c r="N36" i="98" s="1"/>
  <c r="J126" i="66"/>
  <c r="Z31" i="19"/>
  <c r="T36" i="19"/>
  <c r="Z36" i="19" s="1"/>
  <c r="X95" i="79"/>
  <c r="Z95" i="79" s="1"/>
  <c r="P98" i="79"/>
  <c r="X98" i="79" s="1"/>
  <c r="Z98" i="79" s="1"/>
  <c r="X37" i="55"/>
  <c r="P40" i="55"/>
  <c r="X40" i="55" s="1"/>
  <c r="H36" i="4"/>
  <c r="N36" i="4" s="1"/>
  <c r="N31" i="4"/>
  <c r="P86" i="73"/>
  <c r="X83" i="73"/>
  <c r="Z83" i="73" s="1"/>
  <c r="R83" i="73"/>
  <c r="H36" i="40"/>
  <c r="N36" i="40" s="1"/>
  <c r="N31" i="40"/>
  <c r="T126" i="66"/>
  <c r="V123" i="66"/>
  <c r="H260" i="18"/>
  <c r="J257" i="18"/>
  <c r="L79" i="48"/>
  <c r="D82" i="48"/>
  <c r="F79" i="48"/>
  <c r="L31" i="25"/>
  <c r="D36" i="25"/>
  <c r="H36" i="5"/>
  <c r="N36" i="5" s="1"/>
  <c r="N31" i="5"/>
  <c r="X228" i="15"/>
  <c r="Z228" i="15" s="1"/>
  <c r="P232" i="15"/>
  <c r="R228" i="15"/>
  <c r="D100" i="24"/>
  <c r="L96" i="24"/>
  <c r="N96" i="24" s="1"/>
  <c r="L109" i="21"/>
  <c r="N109" i="21" s="1"/>
  <c r="D113" i="21"/>
  <c r="F109" i="21"/>
  <c r="H36" i="37"/>
  <c r="N36" i="37" s="1"/>
  <c r="N31" i="37"/>
  <c r="T36" i="41"/>
  <c r="Z36" i="41" s="1"/>
  <c r="Z31" i="41"/>
  <c r="Z31" i="44"/>
  <c r="T36" i="44"/>
  <c r="Z36" i="44" s="1"/>
  <c r="L26" i="54"/>
  <c r="D31" i="54"/>
  <c r="V242" i="12"/>
  <c r="N26" i="6"/>
  <c r="H31" i="6"/>
  <c r="T67" i="61"/>
  <c r="T66" i="60"/>
  <c r="Z63" i="60"/>
  <c r="Z31" i="98"/>
  <c r="T36" i="98"/>
  <c r="Z36" i="98" s="1"/>
  <c r="Z37" i="55"/>
  <c r="T40" i="55"/>
  <c r="Z31" i="4"/>
  <c r="T36" i="4"/>
  <c r="Z36" i="4" s="1"/>
  <c r="T36" i="5"/>
  <c r="Z36" i="5" s="1"/>
  <c r="Z31" i="5"/>
  <c r="Z31" i="50"/>
  <c r="T36" i="50"/>
  <c r="Z36" i="50" s="1"/>
  <c r="N31" i="53"/>
  <c r="H36" i="53"/>
  <c r="N36" i="53" s="1"/>
  <c r="N31" i="28"/>
  <c r="H36" i="28"/>
  <c r="N36" i="28" s="1"/>
  <c r="N31" i="49"/>
  <c r="H36" i="49"/>
  <c r="N36" i="49" s="1"/>
  <c r="H36" i="11"/>
  <c r="N36" i="11" s="1"/>
  <c r="N31" i="11"/>
  <c r="X62" i="91"/>
  <c r="P65" i="91"/>
  <c r="N32" i="87"/>
  <c r="H35" i="87"/>
  <c r="N35" i="87" s="1"/>
  <c r="D95" i="79"/>
  <c r="L91" i="79"/>
  <c r="N91" i="79" s="1"/>
  <c r="L84" i="56"/>
  <c r="D87" i="56"/>
  <c r="L87" i="56" s="1"/>
  <c r="T160" i="69"/>
  <c r="V157" i="69"/>
  <c r="H235" i="15"/>
  <c r="J232" i="15"/>
  <c r="D36" i="52"/>
  <c r="L31" i="52"/>
  <c r="D36" i="49"/>
  <c r="L31" i="49"/>
  <c r="L31" i="41"/>
  <c r="D36" i="41"/>
  <c r="L90" i="86"/>
  <c r="N90" i="86" s="1"/>
  <c r="D93" i="86"/>
  <c r="L93" i="86" s="1"/>
  <c r="N93" i="86" s="1"/>
  <c r="L31" i="4"/>
  <c r="D36" i="4"/>
  <c r="D239" i="12"/>
  <c r="L235" i="12"/>
  <c r="N235" i="12" s="1"/>
  <c r="F235" i="12"/>
  <c r="L31" i="29"/>
  <c r="D36" i="29"/>
  <c r="N31" i="47"/>
  <c r="H36" i="47"/>
  <c r="N36" i="47" s="1"/>
  <c r="H83" i="58"/>
  <c r="T36" i="100"/>
  <c r="Z36" i="100" s="1"/>
  <c r="Z31" i="100"/>
  <c r="D84" i="83"/>
  <c r="L80" i="83"/>
  <c r="N80" i="83" s="1"/>
  <c r="L31" i="22"/>
  <c r="D36" i="22"/>
  <c r="L62" i="91"/>
  <c r="D65" i="91"/>
  <c r="P70" i="65"/>
  <c r="X66" i="65"/>
  <c r="Z66" i="65" s="1"/>
  <c r="H36" i="25"/>
  <c r="N36" i="25" s="1"/>
  <c r="N31" i="25"/>
  <c r="P36" i="100"/>
  <c r="X31" i="100"/>
  <c r="T82" i="97"/>
  <c r="Z79" i="97"/>
  <c r="V79" i="97"/>
  <c r="X79" i="97"/>
  <c r="L31" i="17"/>
  <c r="D36" i="17"/>
  <c r="T36" i="28"/>
  <c r="Z36" i="28" s="1"/>
  <c r="Z31" i="28"/>
  <c r="Z63" i="88"/>
  <c r="P36" i="46"/>
  <c r="X31" i="46"/>
  <c r="Z31" i="53"/>
  <c r="T36" i="53"/>
  <c r="Z36" i="53" s="1"/>
  <c r="T116" i="21"/>
  <c r="V113" i="21"/>
  <c r="N91" i="81"/>
  <c r="H94" i="81"/>
  <c r="X121" i="42"/>
  <c r="Z121" i="42" s="1"/>
  <c r="P125" i="42"/>
  <c r="R121" i="42"/>
  <c r="P36" i="29"/>
  <c r="X31" i="29"/>
  <c r="D175" i="30"/>
  <c r="L171" i="30"/>
  <c r="N171" i="30" s="1"/>
  <c r="F171" i="30"/>
  <c r="L91" i="81"/>
  <c r="D94" i="81"/>
  <c r="H98" i="92"/>
  <c r="J95" i="92"/>
  <c r="L80" i="58"/>
  <c r="N80" i="58" s="1"/>
  <c r="D83" i="58"/>
  <c r="L83" i="58" s="1"/>
  <c r="T81" i="57"/>
  <c r="P36" i="28"/>
  <c r="X31" i="28"/>
  <c r="P36" i="7"/>
  <c r="X31" i="7"/>
  <c r="X31" i="37"/>
  <c r="P36" i="37"/>
  <c r="P94" i="81"/>
  <c r="X94" i="81" s="1"/>
  <c r="Z94" i="81" s="1"/>
  <c r="X91" i="81"/>
  <c r="Z91" i="81" s="1"/>
  <c r="X103" i="85"/>
  <c r="Z103" i="85" s="1"/>
  <c r="P106" i="85"/>
  <c r="R103" i="85"/>
  <c r="N31" i="23"/>
  <c r="H36" i="23"/>
  <c r="N36" i="23" s="1"/>
  <c r="N64" i="61"/>
  <c r="H67" i="61"/>
  <c r="Z31" i="10"/>
  <c r="T36" i="10"/>
  <c r="Z36" i="10" s="1"/>
  <c r="L31" i="100"/>
  <c r="D36" i="100"/>
  <c r="P36" i="99"/>
  <c r="X31" i="99"/>
  <c r="L31" i="37"/>
  <c r="D36" i="37"/>
  <c r="N28" i="93"/>
  <c r="H31" i="93"/>
  <c r="N31" i="93" s="1"/>
  <c r="N31" i="14"/>
  <c r="H36" i="14"/>
  <c r="N36" i="14" s="1"/>
  <c r="D260" i="18"/>
  <c r="L257" i="18"/>
  <c r="N257" i="18" s="1"/>
  <c r="F257" i="18"/>
  <c r="H128" i="42"/>
  <c r="J125" i="42"/>
  <c r="T36" i="40"/>
  <c r="Z36" i="40" s="1"/>
  <c r="Z31" i="40"/>
  <c r="X84" i="83"/>
  <c r="Z84" i="83" s="1"/>
  <c r="P87" i="83"/>
  <c r="X87" i="83" s="1"/>
  <c r="Z87" i="83" s="1"/>
  <c r="J86" i="73"/>
  <c r="T36" i="7"/>
  <c r="Z36" i="7" s="1"/>
  <c r="Z31" i="7"/>
  <c r="R86" i="84"/>
  <c r="P239" i="12"/>
  <c r="X235" i="12"/>
  <c r="Z235" i="12" s="1"/>
  <c r="R235" i="12"/>
  <c r="T37" i="89"/>
  <c r="P175" i="30"/>
  <c r="X171" i="30"/>
  <c r="Z171" i="30" s="1"/>
  <c r="R171" i="30"/>
  <c r="N31" i="13"/>
  <c r="H36" i="13"/>
  <c r="N36" i="13" s="1"/>
  <c r="L31" i="23"/>
  <c r="D36" i="23"/>
  <c r="X60" i="88"/>
  <c r="Z60" i="88" s="1"/>
  <c r="P63" i="88"/>
  <c r="X63" i="88" s="1"/>
  <c r="D96" i="64"/>
  <c r="L92" i="64"/>
  <c r="N92" i="64" s="1"/>
  <c r="P36" i="34"/>
  <c r="X31" i="34"/>
  <c r="P96" i="64"/>
  <c r="X92" i="64"/>
  <c r="Z92" i="64" s="1"/>
  <c r="R92" i="64"/>
  <c r="P90" i="33"/>
  <c r="X86" i="33"/>
  <c r="Z86" i="33" s="1"/>
  <c r="R86" i="33"/>
  <c r="J97" i="76"/>
  <c r="P36" i="35"/>
  <c r="X31" i="35"/>
  <c r="H90" i="70"/>
  <c r="J87" i="70"/>
  <c r="X31" i="43"/>
  <c r="P36" i="43"/>
  <c r="N84" i="56"/>
  <c r="H87" i="56"/>
  <c r="X83" i="70"/>
  <c r="Z83" i="70" s="1"/>
  <c r="P87" i="70"/>
  <c r="R83" i="70"/>
  <c r="T36" i="13"/>
  <c r="Z36" i="13" s="1"/>
  <c r="Z31" i="13"/>
  <c r="H93" i="95"/>
  <c r="J90" i="95"/>
  <c r="L31" i="16"/>
  <c r="D36" i="16"/>
  <c r="X31" i="25"/>
  <c r="P36" i="25"/>
  <c r="L90" i="33"/>
  <c r="N90" i="33" s="1"/>
  <c r="D93" i="33"/>
  <c r="F90" i="33"/>
  <c r="L36" i="80"/>
  <c r="N36" i="80" s="1"/>
  <c r="D39" i="80"/>
  <c r="L39" i="80" s="1"/>
  <c r="N39" i="80" s="1"/>
  <c r="T81" i="67"/>
  <c r="Z78" i="67"/>
  <c r="V78" i="67"/>
  <c r="N31" i="50"/>
  <c r="H36" i="50"/>
  <c r="N36" i="50" s="1"/>
  <c r="H127" i="27"/>
  <c r="J124" i="27"/>
  <c r="P36" i="44"/>
  <c r="X31" i="44"/>
  <c r="X84" i="56"/>
  <c r="Z84" i="56" s="1"/>
  <c r="P87" i="56"/>
  <c r="X87" i="56" s="1"/>
  <c r="Z87" i="56" s="1"/>
  <c r="P126" i="77"/>
  <c r="X122" i="77"/>
  <c r="Z122" i="77" s="1"/>
  <c r="R122" i="77"/>
  <c r="Z62" i="91"/>
  <c r="T65" i="91"/>
  <c r="P36" i="8"/>
  <c r="X31" i="8"/>
  <c r="V129" i="77"/>
  <c r="N31" i="35"/>
  <c r="H36" i="35"/>
  <c r="N36" i="35" s="1"/>
  <c r="T36" i="23"/>
  <c r="Z36" i="23" s="1"/>
  <c r="Z31" i="23"/>
  <c r="Z31" i="43"/>
  <c r="T36" i="43"/>
  <c r="Z36" i="43" s="1"/>
  <c r="Z31" i="20"/>
  <c r="T36" i="20"/>
  <c r="Z36" i="20" s="1"/>
  <c r="P39" i="80"/>
  <c r="X36" i="80"/>
  <c r="L31" i="44"/>
  <c r="D36" i="44"/>
  <c r="H37" i="89"/>
  <c r="J135" i="36"/>
  <c r="X28" i="96"/>
  <c r="P31" i="96"/>
  <c r="X31" i="96" s="1"/>
  <c r="Z31" i="37"/>
  <c r="T36" i="37"/>
  <c r="Z36" i="37" s="1"/>
  <c r="Z112" i="51"/>
  <c r="T115" i="51"/>
  <c r="V112" i="51"/>
  <c r="N31" i="34"/>
  <c r="H36" i="34"/>
  <c r="N36" i="34" s="1"/>
  <c r="P127" i="27"/>
  <c r="X124" i="27"/>
  <c r="Z124" i="27" s="1"/>
  <c r="R124" i="27"/>
  <c r="H63" i="88"/>
  <c r="N60" i="88"/>
  <c r="L31" i="93"/>
  <c r="L31" i="50"/>
  <c r="D36" i="50"/>
  <c r="D78" i="59"/>
  <c r="L75" i="59"/>
  <c r="X96" i="24"/>
  <c r="Z96" i="24" s="1"/>
  <c r="P100" i="24"/>
  <c r="R96" i="24"/>
  <c r="V127" i="27"/>
  <c r="P90" i="95"/>
  <c r="X86" i="95"/>
  <c r="Z86" i="95" s="1"/>
  <c r="P116" i="21"/>
  <c r="X113" i="21"/>
  <c r="Z113" i="21" s="1"/>
  <c r="R113" i="21"/>
  <c r="L78" i="57"/>
  <c r="N78" i="57" s="1"/>
  <c r="D81" i="57"/>
  <c r="L81" i="57" s="1"/>
  <c r="N81" i="57" s="1"/>
  <c r="L31" i="7"/>
  <c r="D36" i="7"/>
  <c r="T83" i="58"/>
  <c r="L31" i="14"/>
  <c r="D36" i="14"/>
  <c r="Z31" i="35"/>
  <c r="T36" i="35"/>
  <c r="Z36" i="35" s="1"/>
  <c r="L31" i="8"/>
  <c r="D36" i="8"/>
  <c r="N31" i="29"/>
  <c r="H36" i="29"/>
  <c r="N36" i="29" s="1"/>
  <c r="L153" i="69"/>
  <c r="N153" i="69" s="1"/>
  <c r="D157" i="69"/>
  <c r="F153" i="69"/>
  <c r="L31" i="96"/>
  <c r="L31" i="47"/>
  <c r="D36" i="47"/>
  <c r="D87" i="70"/>
  <c r="L83" i="70"/>
  <c r="N83" i="70" s="1"/>
  <c r="F83" i="70"/>
  <c r="L120" i="27"/>
  <c r="N120" i="27" s="1"/>
  <c r="D124" i="27"/>
  <c r="F120" i="27"/>
  <c r="P36" i="38"/>
  <c r="X31" i="38"/>
  <c r="H36" i="38"/>
  <c r="N36" i="38" s="1"/>
  <c r="N31" i="38"/>
  <c r="V86" i="73"/>
  <c r="L31" i="20"/>
  <c r="D36" i="20"/>
  <c r="H282" i="3"/>
  <c r="J277" i="3"/>
  <c r="D36" i="99"/>
  <c r="L31" i="99"/>
  <c r="D37" i="78"/>
  <c r="L34" i="78"/>
  <c r="F34" i="78"/>
  <c r="T282" i="3"/>
  <c r="V277" i="3"/>
  <c r="N31" i="8"/>
  <c r="H36" i="8"/>
  <c r="N36" i="8" s="1"/>
  <c r="V87" i="70"/>
  <c r="T90" i="70"/>
  <c r="Z31" i="31"/>
  <c r="T36" i="31"/>
  <c r="Z36" i="31" s="1"/>
  <c r="P36" i="40"/>
  <c r="X31" i="40"/>
  <c r="T110" i="9"/>
  <c r="N31" i="16"/>
  <c r="H36" i="16"/>
  <c r="N36" i="16" s="1"/>
  <c r="N31" i="44"/>
  <c r="H36" i="44"/>
  <c r="N36" i="44" s="1"/>
  <c r="N31" i="31"/>
  <c r="H36" i="31"/>
  <c r="N36" i="31" s="1"/>
  <c r="X31" i="98"/>
  <c r="P36" i="98"/>
  <c r="V37" i="78"/>
  <c r="X32" i="87"/>
  <c r="P35" i="87"/>
  <c r="R32" i="87"/>
  <c r="Z31" i="52"/>
  <c r="T36" i="52"/>
  <c r="Z36" i="52" s="1"/>
  <c r="X31" i="17"/>
  <c r="P36" i="17"/>
  <c r="Z31" i="25"/>
  <c r="T36" i="25"/>
  <c r="Z36" i="25" s="1"/>
  <c r="P97" i="76"/>
  <c r="X94" i="76"/>
  <c r="H85" i="82"/>
  <c r="L78" i="67"/>
  <c r="N78" i="67" s="1"/>
  <c r="D81" i="67"/>
  <c r="L81" i="67" s="1"/>
  <c r="L31" i="43"/>
  <c r="D36" i="43"/>
  <c r="H103" i="24"/>
  <c r="J100" i="24"/>
  <c r="X102" i="94"/>
  <c r="P105" i="94"/>
  <c r="R102" i="94"/>
  <c r="L31" i="32"/>
  <c r="D36" i="32"/>
  <c r="T115" i="71"/>
  <c r="V112" i="71"/>
  <c r="Z31" i="11"/>
  <c r="T36" i="11"/>
  <c r="Z36" i="11" s="1"/>
  <c r="P36" i="47"/>
  <c r="X31" i="47"/>
  <c r="L83" i="84"/>
  <c r="D86" i="84"/>
  <c r="P81" i="67"/>
  <c r="X81" i="67" s="1"/>
  <c r="X78" i="67"/>
  <c r="J106" i="85"/>
  <c r="J56" i="75"/>
  <c r="L34" i="89"/>
  <c r="N34" i="89" s="1"/>
  <c r="X75" i="59"/>
  <c r="P78" i="59"/>
  <c r="X78" i="59" s="1"/>
  <c r="P78" i="57"/>
  <c r="X74" i="57"/>
  <c r="Z74" i="57" s="1"/>
  <c r="P36" i="13"/>
  <c r="X31" i="13"/>
  <c r="X26" i="54"/>
  <c r="P31" i="54"/>
  <c r="X31" i="54" s="1"/>
  <c r="Z31" i="54" s="1"/>
  <c r="X30" i="78"/>
  <c r="Z30" i="78" s="1"/>
  <c r="P34" i="78"/>
  <c r="R30" i="78"/>
  <c r="P66" i="60"/>
  <c r="X66" i="60" s="1"/>
  <c r="X63" i="60"/>
  <c r="T36" i="26"/>
  <c r="Z36" i="26" s="1"/>
  <c r="Z31" i="26"/>
  <c r="X28" i="93"/>
  <c r="P31" i="93"/>
  <c r="X31" i="93" s="1"/>
  <c r="V235" i="15"/>
  <c r="N79" i="48"/>
  <c r="H82" i="48"/>
  <c r="J79" i="48"/>
  <c r="P77" i="74"/>
  <c r="X77" i="74" s="1"/>
  <c r="Z77" i="74" s="1"/>
  <c r="X74" i="74"/>
  <c r="Z74" i="74" s="1"/>
  <c r="X277" i="3"/>
  <c r="Z277" i="3" s="1"/>
  <c r="P282" i="3"/>
  <c r="R277" i="3"/>
  <c r="P67" i="61"/>
  <c r="X67" i="61" s="1"/>
  <c r="X64" i="61"/>
  <c r="Z64" i="61" s="1"/>
  <c r="N31" i="20"/>
  <c r="H36" i="20"/>
  <c r="N36" i="20" s="1"/>
  <c r="P115" i="71"/>
  <c r="X112" i="71"/>
  <c r="Z112" i="71" s="1"/>
  <c r="R112" i="71"/>
  <c r="L47" i="90"/>
  <c r="X82" i="82"/>
  <c r="Z82" i="82" s="1"/>
  <c r="P85" i="82"/>
  <c r="X85" i="82" s="1"/>
  <c r="X31" i="4"/>
  <c r="P36" i="4"/>
  <c r="H115" i="51"/>
  <c r="J112" i="51"/>
  <c r="X67" i="63"/>
  <c r="P70" i="63"/>
  <c r="J160" i="69"/>
  <c r="T93" i="33"/>
  <c r="V90" i="33"/>
  <c r="X31" i="52"/>
  <c r="P36" i="52"/>
  <c r="H36" i="32"/>
  <c r="N36" i="32" s="1"/>
  <c r="N31" i="32"/>
  <c r="L86" i="95"/>
  <c r="N86" i="95" s="1"/>
  <c r="D90" i="95"/>
  <c r="L31" i="10"/>
  <c r="D36" i="10"/>
  <c r="T36" i="99"/>
  <c r="Z36" i="99" s="1"/>
  <c r="Z31" i="99"/>
  <c r="L31" i="34"/>
  <c r="D36" i="34"/>
  <c r="L31" i="31"/>
  <c r="D36" i="31"/>
  <c r="T260" i="18"/>
  <c r="V257" i="18"/>
  <c r="H116" i="21"/>
  <c r="J113" i="21"/>
  <c r="L31" i="98"/>
  <c r="D36" i="98"/>
  <c r="D36" i="26"/>
  <c r="L31" i="26"/>
  <c r="D112" i="51"/>
  <c r="L108" i="51"/>
  <c r="N108" i="51" s="1"/>
  <c r="F108" i="51"/>
  <c r="Z31" i="17"/>
  <c r="T36" i="17"/>
  <c r="Z36" i="17" s="1"/>
  <c r="L37" i="89"/>
  <c r="N62" i="91"/>
  <c r="H65" i="91"/>
  <c r="H36" i="10"/>
  <c r="N36" i="10" s="1"/>
  <c r="N31" i="10"/>
  <c r="X119" i="66"/>
  <c r="Z119" i="66" s="1"/>
  <c r="P123" i="66"/>
  <c r="R119" i="66"/>
  <c r="T31" i="6"/>
  <c r="Z26" i="6"/>
  <c r="X26" i="6"/>
  <c r="L37" i="55"/>
  <c r="N37" i="55" s="1"/>
  <c r="D40" i="55"/>
  <c r="L40" i="55" s="1"/>
  <c r="N40" i="55" s="1"/>
  <c r="X86" i="86"/>
  <c r="Z86" i="86" s="1"/>
  <c r="P90" i="86"/>
  <c r="D36" i="11"/>
  <c r="L31" i="11"/>
  <c r="P36" i="23"/>
  <c r="X31" i="23"/>
  <c r="N31" i="100"/>
  <c r="H36" i="100"/>
  <c r="N36" i="100" s="1"/>
  <c r="L78" i="82"/>
  <c r="N78" i="82" s="1"/>
  <c r="D82" i="82"/>
  <c r="N112" i="71"/>
  <c r="H115" i="71"/>
  <c r="J112" i="71"/>
  <c r="N31" i="26"/>
  <c r="H36" i="26"/>
  <c r="N36" i="26" s="1"/>
  <c r="N102" i="94"/>
  <c r="H105" i="94"/>
  <c r="J102" i="94"/>
  <c r="P257" i="18"/>
  <c r="X253" i="18"/>
  <c r="Z253" i="18" s="1"/>
  <c r="R253" i="18"/>
  <c r="H36" i="7"/>
  <c r="N36" i="7" s="1"/>
  <c r="N31" i="7"/>
  <c r="H86" i="84"/>
  <c r="N83" i="84"/>
  <c r="N132" i="39"/>
  <c r="H135" i="39"/>
  <c r="J132" i="39"/>
  <c r="H98" i="79"/>
  <c r="H242" i="12"/>
  <c r="J239" i="12"/>
  <c r="L67" i="61"/>
  <c r="T93" i="86"/>
  <c r="H110" i="62"/>
  <c r="N107" i="62"/>
  <c r="T39" i="80"/>
  <c r="Z36" i="80"/>
  <c r="H99" i="64"/>
  <c r="J96" i="64"/>
  <c r="L125" i="42"/>
  <c r="N125" i="42" s="1"/>
  <c r="D128" i="42"/>
  <c r="F125" i="42"/>
  <c r="P36" i="14"/>
  <c r="X31" i="14"/>
  <c r="P83" i="58"/>
  <c r="X83" i="58" s="1"/>
  <c r="X80" i="58"/>
  <c r="Z80" i="58" s="1"/>
  <c r="N31" i="41"/>
  <c r="H36" i="41"/>
  <c r="N36" i="41" s="1"/>
  <c r="L75" i="97"/>
  <c r="N75" i="97" s="1"/>
  <c r="D79" i="97"/>
  <c r="F75" i="97"/>
  <c r="L63" i="60"/>
  <c r="N63" i="60" s="1"/>
  <c r="D66" i="60"/>
  <c r="L66" i="60" s="1"/>
  <c r="N66" i="60" s="1"/>
  <c r="N31" i="52"/>
  <c r="H36" i="52"/>
  <c r="N36" i="52" s="1"/>
  <c r="P36" i="22"/>
  <c r="X31" i="22"/>
  <c r="Z110" i="62"/>
  <c r="H109" i="45"/>
  <c r="J106" i="45"/>
  <c r="Z85" i="82"/>
  <c r="Z67" i="63"/>
  <c r="T70" i="63"/>
  <c r="Z70" i="63" s="1"/>
  <c r="X31" i="16"/>
  <c r="P36" i="16"/>
  <c r="D232" i="15"/>
  <c r="L228" i="15"/>
  <c r="N228" i="15" s="1"/>
  <c r="F228" i="15"/>
  <c r="Z31" i="32"/>
  <c r="T36" i="32"/>
  <c r="Z36" i="32" s="1"/>
  <c r="D126" i="77"/>
  <c r="L122" i="77"/>
  <c r="N122" i="77" s="1"/>
  <c r="F122" i="77"/>
  <c r="P36" i="31"/>
  <c r="X31" i="31"/>
  <c r="T99" i="64"/>
  <c r="V96" i="64"/>
  <c r="L112" i="71"/>
  <c r="D115" i="71"/>
  <c r="F112" i="71"/>
  <c r="L31" i="40"/>
  <c r="D36" i="40"/>
  <c r="D135" i="39"/>
  <c r="L132" i="39"/>
  <c r="F132" i="39"/>
  <c r="L63" i="88"/>
  <c r="L102" i="94"/>
  <c r="D105" i="94"/>
  <c r="F102" i="94"/>
  <c r="H129" i="77"/>
  <c r="J126" i="77"/>
  <c r="H31" i="54"/>
  <c r="N26" i="54"/>
  <c r="D277" i="3"/>
  <c r="L273" i="3"/>
  <c r="N273" i="3" s="1"/>
  <c r="F273" i="3"/>
  <c r="T36" i="16"/>
  <c r="Z36" i="16" s="1"/>
  <c r="Z31" i="16"/>
  <c r="J178" i="30"/>
  <c r="D110" i="62"/>
  <c r="L107" i="62"/>
  <c r="P160" i="69"/>
  <c r="X157" i="69"/>
  <c r="Z157" i="69" s="1"/>
  <c r="R157" i="69"/>
  <c r="T36" i="22"/>
  <c r="Z36" i="22" s="1"/>
  <c r="Z31" i="22"/>
  <c r="L123" i="66"/>
  <c r="N123" i="66" s="1"/>
  <c r="D126" i="66"/>
  <c r="F123" i="66"/>
  <c r="X31" i="11"/>
  <c r="P36" i="11"/>
  <c r="H81" i="67"/>
  <c r="J78" i="67"/>
  <c r="D36" i="5"/>
  <c r="L31" i="5"/>
  <c r="N44" i="90"/>
  <c r="H47" i="90"/>
  <c r="X31" i="32"/>
  <c r="P36" i="32"/>
  <c r="H37" i="78"/>
  <c r="N34" i="78"/>
  <c r="J34" i="78"/>
  <c r="X31" i="10"/>
  <c r="P36" i="10"/>
  <c r="P36" i="20"/>
  <c r="X31" i="20"/>
  <c r="N31" i="99"/>
  <c r="H36" i="99"/>
  <c r="N36" i="99" s="1"/>
  <c r="L67" i="63"/>
  <c r="D70" i="63"/>
  <c r="L70" i="63" s="1"/>
  <c r="N31" i="46"/>
  <c r="H36" i="46"/>
  <c r="N36" i="46" s="1"/>
  <c r="T97" i="76"/>
  <c r="Z94" i="76"/>
  <c r="V94" i="76"/>
  <c r="P106" i="45"/>
  <c r="X102" i="45"/>
  <c r="Z102" i="45" s="1"/>
  <c r="R102" i="45"/>
  <c r="L31" i="13"/>
  <c r="D36" i="13"/>
  <c r="Z31" i="34"/>
  <c r="T36" i="34"/>
  <c r="Z36" i="34" s="1"/>
  <c r="H110" i="9"/>
  <c r="P82" i="48"/>
  <c r="X79" i="48"/>
  <c r="Z79" i="48" s="1"/>
  <c r="R79" i="48"/>
  <c r="Z75" i="59"/>
  <c r="T78" i="59"/>
  <c r="H82" i="97"/>
  <c r="J79" i="97"/>
  <c r="T103" i="24"/>
  <c r="V100" i="24"/>
  <c r="L31" i="46"/>
  <c r="D36" i="46"/>
  <c r="L31" i="28"/>
  <c r="D36" i="28"/>
  <c r="L95" i="92"/>
  <c r="N95" i="92" s="1"/>
  <c r="D98" i="92"/>
  <c r="L98" i="92" s="1"/>
  <c r="X31" i="5"/>
  <c r="P36" i="5"/>
  <c r="P36" i="41"/>
  <c r="X31" i="41"/>
  <c r="X31" i="50"/>
  <c r="P36" i="50"/>
  <c r="P36" i="19"/>
  <c r="X31" i="19"/>
  <c r="T106" i="85"/>
  <c r="V103" i="85"/>
  <c r="H36" i="17"/>
  <c r="N36" i="17" s="1"/>
  <c r="N31" i="17"/>
  <c r="X34" i="89"/>
  <c r="Z34" i="89" s="1"/>
  <c r="P37" i="89"/>
  <c r="X37" i="89" s="1"/>
  <c r="T82" i="48"/>
  <c r="V79" i="48"/>
  <c r="L94" i="76"/>
  <c r="N94" i="76" s="1"/>
  <c r="D97" i="76"/>
  <c r="L97" i="76" s="1"/>
  <c r="N97" i="76" s="1"/>
  <c r="X95" i="92"/>
  <c r="Z95" i="92" s="1"/>
  <c r="P98" i="92"/>
  <c r="R95" i="92"/>
  <c r="Z83" i="84"/>
  <c r="T86" i="84"/>
  <c r="X86" i="84" s="1"/>
  <c r="Z132" i="36"/>
  <c r="T135" i="36"/>
  <c r="V132" i="36"/>
  <c r="L31" i="35"/>
  <c r="D36" i="35"/>
  <c r="D106" i="45"/>
  <c r="L102" i="45"/>
  <c r="N102" i="45" s="1"/>
  <c r="F102" i="45"/>
  <c r="D110" i="9"/>
  <c r="L107" i="9"/>
  <c r="N107" i="9" s="1"/>
  <c r="Z31" i="47"/>
  <c r="T36" i="47"/>
  <c r="Z36" i="47" s="1"/>
  <c r="Z31" i="49"/>
  <c r="T36" i="49"/>
  <c r="Z36" i="49" s="1"/>
  <c r="X31" i="49"/>
  <c r="P36" i="49"/>
  <c r="D132" i="36"/>
  <c r="L128" i="36"/>
  <c r="N128" i="36" s="1"/>
  <c r="F128" i="36"/>
  <c r="T135" i="39"/>
  <c r="V132" i="39"/>
  <c r="P132" i="39"/>
  <c r="X128" i="39"/>
  <c r="Z128" i="39" s="1"/>
  <c r="R128" i="39"/>
  <c r="N31" i="22"/>
  <c r="H36" i="22"/>
  <c r="N36" i="22" s="1"/>
  <c r="N31" i="43"/>
  <c r="H36" i="43"/>
  <c r="N36" i="43" s="1"/>
  <c r="J93" i="33"/>
  <c r="X31" i="53"/>
  <c r="P36" i="53"/>
  <c r="X107" i="9"/>
  <c r="Z107" i="9" s="1"/>
  <c r="P110" i="9"/>
  <c r="D74" i="74"/>
  <c r="L70" i="74"/>
  <c r="N70" i="74" s="1"/>
  <c r="L79" i="73"/>
  <c r="N79" i="73" s="1"/>
  <c r="D83" i="73"/>
  <c r="L31" i="6"/>
  <c r="L49" i="75"/>
  <c r="N49" i="75" s="1"/>
  <c r="D53" i="75"/>
  <c r="F49" i="75"/>
  <c r="T105" i="94"/>
  <c r="Z102" i="94"/>
  <c r="V102" i="94"/>
  <c r="T36" i="29"/>
  <c r="Z36" i="29" s="1"/>
  <c r="Z31" i="29"/>
  <c r="H78" i="59"/>
  <c r="N75" i="59"/>
  <c r="T178" i="30"/>
  <c r="V175" i="30"/>
  <c r="T36" i="38"/>
  <c r="Z36" i="38" s="1"/>
  <c r="Z31" i="38"/>
  <c r="D36" i="38"/>
  <c r="L31" i="38"/>
  <c r="X47" i="90"/>
  <c r="Z47" i="90" s="1"/>
  <c r="X36" i="14" l="1"/>
  <c r="L36" i="37"/>
  <c r="X36" i="100"/>
  <c r="L36" i="38"/>
  <c r="X36" i="5"/>
  <c r="L36" i="11"/>
  <c r="L36" i="40"/>
  <c r="L36" i="5"/>
  <c r="L36" i="47"/>
  <c r="L36" i="98"/>
  <c r="X36" i="53"/>
  <c r="X36" i="10"/>
  <c r="X36" i="7"/>
  <c r="L36" i="23"/>
  <c r="X36" i="50"/>
  <c r="X36" i="49"/>
  <c r="X36" i="41"/>
  <c r="L36" i="19"/>
  <c r="X36" i="31"/>
  <c r="X36" i="43"/>
  <c r="L36" i="49"/>
  <c r="X36" i="32"/>
  <c r="X36" i="47"/>
  <c r="L36" i="46"/>
  <c r="X36" i="23"/>
  <c r="L36" i="26"/>
  <c r="X36" i="11"/>
  <c r="L36" i="10"/>
  <c r="L36" i="16"/>
  <c r="X36" i="19"/>
  <c r="L36" i="13"/>
  <c r="X36" i="22"/>
  <c r="L36" i="43"/>
  <c r="L36" i="35"/>
  <c r="L36" i="41"/>
  <c r="X36" i="25"/>
  <c r="X36" i="28"/>
  <c r="J82" i="48"/>
  <c r="Z97" i="76"/>
  <c r="V97" i="76"/>
  <c r="V99" i="64"/>
  <c r="L36" i="50"/>
  <c r="D135" i="36"/>
  <c r="L132" i="36"/>
  <c r="N132" i="36" s="1"/>
  <c r="F132" i="36"/>
  <c r="L106" i="45"/>
  <c r="N106" i="45" s="1"/>
  <c r="D109" i="45"/>
  <c r="F106" i="45"/>
  <c r="J37" i="78"/>
  <c r="X36" i="16"/>
  <c r="J115" i="71"/>
  <c r="X90" i="86"/>
  <c r="Z90" i="86" s="1"/>
  <c r="P93" i="86"/>
  <c r="X93" i="86" s="1"/>
  <c r="Z93" i="86" s="1"/>
  <c r="X34" i="78"/>
  <c r="Z34" i="78" s="1"/>
  <c r="P37" i="78"/>
  <c r="R34" i="78"/>
  <c r="Z115" i="71"/>
  <c r="V115" i="71"/>
  <c r="L36" i="20"/>
  <c r="X39" i="80"/>
  <c r="X36" i="8"/>
  <c r="N87" i="56"/>
  <c r="P242" i="12"/>
  <c r="X239" i="12"/>
  <c r="Z239" i="12" s="1"/>
  <c r="R239" i="12"/>
  <c r="X36" i="29"/>
  <c r="X36" i="46"/>
  <c r="Z40" i="55"/>
  <c r="L31" i="54"/>
  <c r="V103" i="24"/>
  <c r="J116" i="21"/>
  <c r="V282" i="3"/>
  <c r="X125" i="42"/>
  <c r="Z125" i="42" s="1"/>
  <c r="P128" i="42"/>
  <c r="R125" i="42"/>
  <c r="D103" i="24"/>
  <c r="L103" i="24" s="1"/>
  <c r="L100" i="24"/>
  <c r="N100" i="24" s="1"/>
  <c r="J260" i="18"/>
  <c r="L35" i="87"/>
  <c r="F35" i="87"/>
  <c r="X135" i="36"/>
  <c r="Z135" i="36" s="1"/>
  <c r="R135" i="36"/>
  <c r="N47" i="90"/>
  <c r="L128" i="42"/>
  <c r="F128" i="42"/>
  <c r="D93" i="95"/>
  <c r="L93" i="95" s="1"/>
  <c r="L90" i="95"/>
  <c r="N90" i="95" s="1"/>
  <c r="L36" i="32"/>
  <c r="L36" i="14"/>
  <c r="X90" i="95"/>
  <c r="Z90" i="95" s="1"/>
  <c r="P93" i="95"/>
  <c r="X93" i="95" s="1"/>
  <c r="Z93" i="95" s="1"/>
  <c r="N63" i="88"/>
  <c r="P93" i="33"/>
  <c r="X90" i="33"/>
  <c r="Z90" i="33" s="1"/>
  <c r="R90" i="33"/>
  <c r="N128" i="42"/>
  <c r="J128" i="42"/>
  <c r="X36" i="99"/>
  <c r="P73" i="65"/>
  <c r="X73" i="65" s="1"/>
  <c r="Z73" i="65" s="1"/>
  <c r="X70" i="65"/>
  <c r="Z70" i="65" s="1"/>
  <c r="L87" i="70"/>
  <c r="N87" i="70" s="1"/>
  <c r="D90" i="70"/>
  <c r="F87" i="70"/>
  <c r="X106" i="85"/>
  <c r="R106" i="85"/>
  <c r="X70" i="63"/>
  <c r="X35" i="87"/>
  <c r="R35" i="87"/>
  <c r="V135" i="36"/>
  <c r="D282" i="3"/>
  <c r="L277" i="3"/>
  <c r="N277" i="3" s="1"/>
  <c r="F277" i="3"/>
  <c r="L36" i="100"/>
  <c r="L36" i="17"/>
  <c r="L65" i="91"/>
  <c r="P235" i="15"/>
  <c r="X232" i="15"/>
  <c r="Z232" i="15" s="1"/>
  <c r="R232" i="15"/>
  <c r="L36" i="53"/>
  <c r="D86" i="73"/>
  <c r="L86" i="73" s="1"/>
  <c r="N86" i="73" s="1"/>
  <c r="L83" i="73"/>
  <c r="N83" i="73" s="1"/>
  <c r="L82" i="82"/>
  <c r="N82" i="82" s="1"/>
  <c r="D85" i="82"/>
  <c r="L85" i="82" s="1"/>
  <c r="N85" i="82" s="1"/>
  <c r="L135" i="39"/>
  <c r="F135" i="39"/>
  <c r="D82" i="97"/>
  <c r="L79" i="97"/>
  <c r="N79" i="97" s="1"/>
  <c r="F79" i="97"/>
  <c r="L74" i="74"/>
  <c r="N74" i="74" s="1"/>
  <c r="D77" i="74"/>
  <c r="L77" i="74" s="1"/>
  <c r="N77" i="74" s="1"/>
  <c r="L126" i="77"/>
  <c r="N126" i="77" s="1"/>
  <c r="D129" i="77"/>
  <c r="F126" i="77"/>
  <c r="P260" i="18"/>
  <c r="X257" i="18"/>
  <c r="Z257" i="18" s="1"/>
  <c r="R257" i="18"/>
  <c r="J115" i="51"/>
  <c r="X36" i="13"/>
  <c r="L86" i="84"/>
  <c r="N86" i="84" s="1"/>
  <c r="X36" i="40"/>
  <c r="P129" i="77"/>
  <c r="X126" i="77"/>
  <c r="Z126" i="77" s="1"/>
  <c r="R126" i="77"/>
  <c r="Z81" i="67"/>
  <c r="V81" i="67"/>
  <c r="N93" i="95"/>
  <c r="J93" i="95"/>
  <c r="X36" i="37"/>
  <c r="N98" i="92"/>
  <c r="J98" i="92"/>
  <c r="L36" i="29"/>
  <c r="D98" i="79"/>
  <c r="L98" i="79" s="1"/>
  <c r="N98" i="79" s="1"/>
  <c r="L95" i="79"/>
  <c r="N95" i="79" s="1"/>
  <c r="Z66" i="60"/>
  <c r="V126" i="66"/>
  <c r="X36" i="26"/>
  <c r="V160" i="69"/>
  <c r="X110" i="9"/>
  <c r="N31" i="54"/>
  <c r="J109" i="45"/>
  <c r="N99" i="64"/>
  <c r="J99" i="64"/>
  <c r="X31" i="6"/>
  <c r="Z31" i="6" s="1"/>
  <c r="V260" i="18"/>
  <c r="X105" i="94"/>
  <c r="R105" i="94"/>
  <c r="X97" i="76"/>
  <c r="X36" i="98"/>
  <c r="L37" i="78"/>
  <c r="N37" i="78" s="1"/>
  <c r="F37" i="78"/>
  <c r="L157" i="69"/>
  <c r="N157" i="69" s="1"/>
  <c r="D160" i="69"/>
  <c r="F157" i="69"/>
  <c r="Z83" i="58"/>
  <c r="X127" i="27"/>
  <c r="Z127" i="27" s="1"/>
  <c r="R127" i="27"/>
  <c r="J90" i="70"/>
  <c r="P99" i="64"/>
  <c r="X96" i="64"/>
  <c r="Z96" i="64" s="1"/>
  <c r="R96" i="64"/>
  <c r="L94" i="81"/>
  <c r="N94" i="81" s="1"/>
  <c r="L36" i="22"/>
  <c r="V98" i="92"/>
  <c r="N110" i="9"/>
  <c r="X115" i="71"/>
  <c r="R115" i="71"/>
  <c r="J242" i="12"/>
  <c r="P135" i="39"/>
  <c r="X132" i="39"/>
  <c r="Z132" i="39" s="1"/>
  <c r="R132" i="39"/>
  <c r="Z86" i="84"/>
  <c r="J82" i="97"/>
  <c r="Z78" i="59"/>
  <c r="X36" i="20"/>
  <c r="X160" i="69"/>
  <c r="Z160" i="69" s="1"/>
  <c r="R160" i="69"/>
  <c r="J105" i="94"/>
  <c r="L36" i="31"/>
  <c r="X36" i="52"/>
  <c r="X36" i="4"/>
  <c r="P81" i="57"/>
  <c r="X81" i="57" s="1"/>
  <c r="Z81" i="57" s="1"/>
  <c r="X78" i="57"/>
  <c r="Z78" i="57" s="1"/>
  <c r="X36" i="38"/>
  <c r="L36" i="7"/>
  <c r="X100" i="24"/>
  <c r="Z100" i="24" s="1"/>
  <c r="P103" i="24"/>
  <c r="R100" i="24"/>
  <c r="N37" i="89"/>
  <c r="P178" i="30"/>
  <c r="X175" i="30"/>
  <c r="Z175" i="30" s="1"/>
  <c r="R175" i="30"/>
  <c r="L260" i="18"/>
  <c r="N260" i="18" s="1"/>
  <c r="F260" i="18"/>
  <c r="L36" i="52"/>
  <c r="Z67" i="61"/>
  <c r="N65" i="91"/>
  <c r="X116" i="21"/>
  <c r="R116" i="21"/>
  <c r="N83" i="58"/>
  <c r="Z110" i="9"/>
  <c r="J129" i="77"/>
  <c r="V90" i="70"/>
  <c r="L36" i="99"/>
  <c r="X36" i="35"/>
  <c r="X36" i="34"/>
  <c r="Z37" i="89"/>
  <c r="N67" i="61"/>
  <c r="Z116" i="21"/>
  <c r="V116" i="21"/>
  <c r="X65" i="91"/>
  <c r="Z65" i="91" s="1"/>
  <c r="N31" i="6"/>
  <c r="L36" i="25"/>
  <c r="L126" i="66"/>
  <c r="N126" i="66" s="1"/>
  <c r="F126" i="66"/>
  <c r="L110" i="9"/>
  <c r="P109" i="45"/>
  <c r="X106" i="45"/>
  <c r="Z106" i="45" s="1"/>
  <c r="R106" i="45"/>
  <c r="N81" i="67"/>
  <c r="J81" i="67"/>
  <c r="L115" i="71"/>
  <c r="N115" i="71" s="1"/>
  <c r="F115" i="71"/>
  <c r="D115" i="51"/>
  <c r="L112" i="51"/>
  <c r="N112" i="51" s="1"/>
  <c r="F112" i="51"/>
  <c r="X282" i="3"/>
  <c r="Z282" i="3" s="1"/>
  <c r="R282" i="3"/>
  <c r="Z105" i="94"/>
  <c r="V105" i="94"/>
  <c r="V135" i="39"/>
  <c r="X98" i="92"/>
  <c r="Z98" i="92" s="1"/>
  <c r="R98" i="92"/>
  <c r="Z106" i="85"/>
  <c r="V106" i="85"/>
  <c r="L36" i="28"/>
  <c r="L110" i="62"/>
  <c r="N110" i="62" s="1"/>
  <c r="Z39" i="80"/>
  <c r="N135" i="39"/>
  <c r="J135" i="39"/>
  <c r="X123" i="66"/>
  <c r="Z123" i="66" s="1"/>
  <c r="P126" i="66"/>
  <c r="R123" i="66"/>
  <c r="L36" i="34"/>
  <c r="X36" i="17"/>
  <c r="L124" i="27"/>
  <c r="N124" i="27" s="1"/>
  <c r="D127" i="27"/>
  <c r="F124" i="27"/>
  <c r="L36" i="44"/>
  <c r="X36" i="44"/>
  <c r="L93" i="33"/>
  <c r="N93" i="33" s="1"/>
  <c r="F93" i="33"/>
  <c r="V82" i="97"/>
  <c r="X82" i="97"/>
  <c r="Z82" i="97" s="1"/>
  <c r="L84" i="83"/>
  <c r="N84" i="83" s="1"/>
  <c r="D87" i="83"/>
  <c r="L87" i="83" s="1"/>
  <c r="N87" i="83" s="1"/>
  <c r="L239" i="12"/>
  <c r="N239" i="12" s="1"/>
  <c r="D242" i="12"/>
  <c r="F239" i="12"/>
  <c r="X53" i="75"/>
  <c r="Z53" i="75" s="1"/>
  <c r="P56" i="75"/>
  <c r="R53" i="75"/>
  <c r="N103" i="24"/>
  <c r="J103" i="24"/>
  <c r="J282" i="3"/>
  <c r="L36" i="8"/>
  <c r="L78" i="59"/>
  <c r="N78" i="59" s="1"/>
  <c r="X87" i="70"/>
  <c r="Z87" i="70" s="1"/>
  <c r="P90" i="70"/>
  <c r="R87" i="70"/>
  <c r="D99" i="64"/>
  <c r="L99" i="64" s="1"/>
  <c r="L96" i="64"/>
  <c r="N96" i="64" s="1"/>
  <c r="L175" i="30"/>
  <c r="N175" i="30" s="1"/>
  <c r="D178" i="30"/>
  <c r="F175" i="30"/>
  <c r="L36" i="4"/>
  <c r="J235" i="15"/>
  <c r="L103" i="85"/>
  <c r="N103" i="85" s="1"/>
  <c r="D106" i="85"/>
  <c r="F103" i="85"/>
  <c r="V178" i="30"/>
  <c r="Z82" i="48"/>
  <c r="V82" i="48"/>
  <c r="L53" i="75"/>
  <c r="N53" i="75" s="1"/>
  <c r="D56" i="75"/>
  <c r="F53" i="75"/>
  <c r="X82" i="48"/>
  <c r="R82" i="48"/>
  <c r="L105" i="94"/>
  <c r="N105" i="94" s="1"/>
  <c r="F105" i="94"/>
  <c r="L232" i="15"/>
  <c r="N232" i="15" s="1"/>
  <c r="D235" i="15"/>
  <c r="F232" i="15"/>
  <c r="V93" i="33"/>
  <c r="V115" i="51"/>
  <c r="J127" i="27"/>
  <c r="L113" i="21"/>
  <c r="N113" i="21" s="1"/>
  <c r="D116" i="21"/>
  <c r="F113" i="21"/>
  <c r="L82" i="48"/>
  <c r="N82" i="48" s="1"/>
  <c r="F82" i="48"/>
  <c r="X86" i="73"/>
  <c r="Z86" i="73" s="1"/>
  <c r="R86" i="73"/>
  <c r="X115" i="51"/>
  <c r="Z115" i="51" s="1"/>
  <c r="R115" i="51"/>
  <c r="L106" i="85" l="1"/>
  <c r="N106" i="85" s="1"/>
  <c r="F106" i="85"/>
  <c r="X235" i="15"/>
  <c r="Z235" i="15" s="1"/>
  <c r="R235" i="15"/>
  <c r="X90" i="70"/>
  <c r="Z90" i="70" s="1"/>
  <c r="R90" i="70"/>
  <c r="L82" i="97"/>
  <c r="N82" i="97" s="1"/>
  <c r="F82" i="97"/>
  <c r="X242" i="12"/>
  <c r="Z242" i="12" s="1"/>
  <c r="R242" i="12"/>
  <c r="L135" i="36"/>
  <c r="N135" i="36" s="1"/>
  <c r="F135" i="36"/>
  <c r="L127" i="27"/>
  <c r="N127" i="27" s="1"/>
  <c r="F127" i="27"/>
  <c r="X178" i="30"/>
  <c r="Z178" i="30" s="1"/>
  <c r="R178" i="30"/>
  <c r="X135" i="39"/>
  <c r="Z135" i="39" s="1"/>
  <c r="R135" i="39"/>
  <c r="X99" i="64"/>
  <c r="Z99" i="64" s="1"/>
  <c r="R99" i="64"/>
  <c r="X93" i="33"/>
  <c r="Z93" i="33" s="1"/>
  <c r="R93" i="33"/>
  <c r="L116" i="21"/>
  <c r="N116" i="21" s="1"/>
  <c r="F116" i="21"/>
  <c r="X126" i="66"/>
  <c r="Z126" i="66" s="1"/>
  <c r="R126" i="66"/>
  <c r="L56" i="75"/>
  <c r="N56" i="75" s="1"/>
  <c r="F56" i="75"/>
  <c r="L242" i="12"/>
  <c r="N242" i="12" s="1"/>
  <c r="F242" i="12"/>
  <c r="L178" i="30"/>
  <c r="N178" i="30" s="1"/>
  <c r="F178" i="30"/>
  <c r="X103" i="24"/>
  <c r="Z103" i="24" s="1"/>
  <c r="R103" i="24"/>
  <c r="X260" i="18"/>
  <c r="Z260" i="18" s="1"/>
  <c r="R260" i="18"/>
  <c r="L90" i="70"/>
  <c r="N90" i="70" s="1"/>
  <c r="F90" i="70"/>
  <c r="L115" i="51"/>
  <c r="N115" i="51" s="1"/>
  <c r="F115" i="51"/>
  <c r="X109" i="45"/>
  <c r="Z109" i="45" s="1"/>
  <c r="R109" i="45"/>
  <c r="X56" i="75"/>
  <c r="Z56" i="75" s="1"/>
  <c r="R56" i="75"/>
  <c r="L129" i="77"/>
  <c r="N129" i="77" s="1"/>
  <c r="F129" i="77"/>
  <c r="L282" i="3"/>
  <c r="N282" i="3" s="1"/>
  <c r="F282" i="3"/>
  <c r="L235" i="15"/>
  <c r="N235" i="15" s="1"/>
  <c r="F235" i="15"/>
  <c r="L160" i="69"/>
  <c r="N160" i="69" s="1"/>
  <c r="F160" i="69"/>
  <c r="X129" i="77"/>
  <c r="Z129" i="77" s="1"/>
  <c r="R129" i="77"/>
  <c r="X37" i="78"/>
  <c r="Z37" i="78" s="1"/>
  <c r="R37" i="78"/>
  <c r="L109" i="45"/>
  <c r="N109" i="45" s="1"/>
  <c r="F109" i="45"/>
  <c r="X128" i="42"/>
  <c r="Z128" i="42" s="1"/>
  <c r="R128" i="42"/>
</calcChain>
</file>

<file path=xl/sharedStrings.xml><?xml version="1.0" encoding="utf-8"?>
<sst xmlns="http://schemas.openxmlformats.org/spreadsheetml/2006/main" count="2870" uniqueCount="315">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</sst>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Fill="1"/>
    <xf numFmtId="0" fontId="4" fillId="0" borderId="0" xfId="0" applyFont="1"/>
    <xf numFmtId="0" fontId="5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2" fillId="0" borderId="0" xfId="0" applyFont="1" applyFill="1" applyBorder="1"/>
    <xf numFmtId="0" fontId="0" fillId="0" borderId="0" xfId="0" applyBorder="1"/>
    <xf numFmtId="166" fontId="5" fillId="0" borderId="0" xfId="0" applyNumberFormat="1" applyFont="1" applyAlignment="1">
      <alignment horizontal="left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107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107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256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256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314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314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199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199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81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81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22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22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125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125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200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200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55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55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87"/>
  <sheetViews>
    <sheetView tabSelected="1" zoomScale="80" workbookViewId="0">
      <pane xSplit="3" ySplit="10" topLeftCell="D156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313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1038672.75</v>
      </c>
      <c r="E12" s="4"/>
      <c r="F12" s="12"/>
      <c r="G12" s="4"/>
      <c r="H12" s="4">
        <f>SUM(OSRRefH13x_0)</f>
        <v>1395071</v>
      </c>
      <c r="I12" s="4"/>
      <c r="J12" s="12"/>
      <c r="K12" s="4"/>
      <c r="L12" s="4">
        <f t="shared" ref="L12:L100" si="0">+D12-H12</f>
        <v>-356398.25</v>
      </c>
      <c r="M12" s="4"/>
      <c r="N12" s="12">
        <f t="shared" ref="N12:N100" si="1">IF(H12=0,0,L12/H12)</f>
        <v>-0.25546961409132579</v>
      </c>
      <c r="O12" s="10"/>
      <c r="P12" s="4">
        <f>SUM(OSRRefP13x_0)</f>
        <v>9003825.4500000011</v>
      </c>
      <c r="Q12" s="4"/>
      <c r="R12" s="12"/>
      <c r="S12" s="4"/>
      <c r="T12" s="4">
        <f>SUM(OSRRefT13x_0)</f>
        <v>15231191</v>
      </c>
      <c r="U12" s="4"/>
      <c r="V12" s="12"/>
      <c r="W12" s="4"/>
      <c r="X12" s="4">
        <f t="shared" ref="X12:X100" si="2">+P12-T12</f>
        <v>-6227365.5499999989</v>
      </c>
      <c r="Y12" s="4"/>
      <c r="Z12" s="12">
        <f t="shared" ref="Z12:Z100" si="3">IF(T12=0,0,X12/T12)</f>
        <v>-0.40885611309056519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-13346.89</f>
        <v>-13346.89</v>
      </c>
      <c r="E13" s="2"/>
      <c r="F13" s="19"/>
      <c r="G13" s="2"/>
      <c r="H13" s="2">
        <v>672519</v>
      </c>
      <c r="I13" s="2"/>
      <c r="J13" s="19"/>
      <c r="K13" s="2"/>
      <c r="L13" s="2">
        <f t="shared" si="0"/>
        <v>-685865.89</v>
      </c>
      <c r="M13" s="2"/>
      <c r="N13" s="19">
        <f t="shared" si="1"/>
        <v>-1.0198461158718193</v>
      </c>
      <c r="O13" s="11"/>
      <c r="P13" s="2">
        <f>-136003.3</f>
        <v>-136003.29999999999</v>
      </c>
      <c r="Q13" s="2"/>
      <c r="R13" s="19"/>
      <c r="S13" s="2"/>
      <c r="T13" s="2">
        <v>9986190</v>
      </c>
      <c r="U13" s="2"/>
      <c r="V13" s="19"/>
      <c r="W13" s="2"/>
      <c r="X13" s="2">
        <f t="shared" si="2"/>
        <v>-10122193.300000001</v>
      </c>
      <c r="Y13" s="2"/>
      <c r="Z13" s="19">
        <f t="shared" si="3"/>
        <v>-1.0136191380296189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--31347.12</f>
        <v>31347.119999999999</v>
      </c>
      <c r="E14" s="2"/>
      <c r="F14" s="19"/>
      <c r="G14" s="2"/>
      <c r="H14" s="2"/>
      <c r="I14" s="2"/>
      <c r="J14" s="19"/>
      <c r="K14" s="2"/>
      <c r="L14" s="2">
        <f t="shared" si="0"/>
        <v>31347.119999999999</v>
      </c>
      <c r="M14" s="2"/>
      <c r="N14" s="19">
        <f t="shared" si="1"/>
        <v>0</v>
      </c>
      <c r="O14" s="11"/>
      <c r="P14" s="2">
        <f>--1263810.36</f>
        <v>1263810.3600000001</v>
      </c>
      <c r="Q14" s="2"/>
      <c r="R14" s="19"/>
      <c r="S14" s="2"/>
      <c r="T14" s="2"/>
      <c r="U14" s="2"/>
      <c r="V14" s="19"/>
      <c r="W14" s="2"/>
      <c r="X14" s="2">
        <f t="shared" si="2"/>
        <v>1263810.3600000001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--1971.3</f>
        <v>1971.3</v>
      </c>
      <c r="E15" s="2"/>
      <c r="F15" s="19"/>
      <c r="G15" s="2"/>
      <c r="H15" s="2"/>
      <c r="I15" s="2"/>
      <c r="J15" s="19"/>
      <c r="K15" s="2"/>
      <c r="L15" s="2">
        <f t="shared" si="0"/>
        <v>1971.3</v>
      </c>
      <c r="M15" s="2"/>
      <c r="N15" s="19">
        <f t="shared" si="1"/>
        <v>0</v>
      </c>
      <c r="O15" s="11"/>
      <c r="P15" s="2">
        <f>--578768.63</f>
        <v>578768.63</v>
      </c>
      <c r="Q15" s="2"/>
      <c r="R15" s="19"/>
      <c r="S15" s="2"/>
      <c r="T15" s="2"/>
      <c r="U15" s="2"/>
      <c r="V15" s="19"/>
      <c r="W15" s="2"/>
      <c r="X15" s="2">
        <f t="shared" si="2"/>
        <v>578768.63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--20</f>
        <v>20</v>
      </c>
      <c r="E16" s="2"/>
      <c r="F16" s="19"/>
      <c r="G16" s="2"/>
      <c r="H16" s="2"/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1"/>
      <c r="P16" s="2">
        <f>--17997.88</f>
        <v>17997.88</v>
      </c>
      <c r="Q16" s="2"/>
      <c r="R16" s="19"/>
      <c r="S16" s="2"/>
      <c r="T16" s="2"/>
      <c r="U16" s="2"/>
      <c r="V16" s="19"/>
      <c r="W16" s="2"/>
      <c r="X16" s="2">
        <f t="shared" si="2"/>
        <v>17997.88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--61.81</f>
        <v>61.81</v>
      </c>
      <c r="E18" s="2"/>
      <c r="F18" s="19"/>
      <c r="G18" s="2"/>
      <c r="H18" s="2"/>
      <c r="I18" s="2"/>
      <c r="J18" s="19"/>
      <c r="K18" s="2"/>
      <c r="L18" s="2">
        <f t="shared" si="0"/>
        <v>61.81</v>
      </c>
      <c r="M18" s="2"/>
      <c r="N18" s="19">
        <f t="shared" si="1"/>
        <v>0</v>
      </c>
      <c r="O18" s="11"/>
      <c r="P18" s="2">
        <f>--1263.83</f>
        <v>1263.83</v>
      </c>
      <c r="Q18" s="2"/>
      <c r="R18" s="19"/>
      <c r="S18" s="2"/>
      <c r="T18" s="2"/>
      <c r="U18" s="2"/>
      <c r="V18" s="19"/>
      <c r="W18" s="2"/>
      <c r="X18" s="2">
        <f t="shared" si="2"/>
        <v>1263.83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--36.85</f>
        <v>36.85</v>
      </c>
      <c r="E19" s="2"/>
      <c r="F19" s="19"/>
      <c r="G19" s="2"/>
      <c r="H19" s="2"/>
      <c r="I19" s="2"/>
      <c r="J19" s="19"/>
      <c r="K19" s="2"/>
      <c r="L19" s="2">
        <f t="shared" si="0"/>
        <v>36.85</v>
      </c>
      <c r="M19" s="2"/>
      <c r="N19" s="19">
        <f t="shared" si="1"/>
        <v>0</v>
      </c>
      <c r="O19" s="11"/>
      <c r="P19" s="2">
        <f>--484.55</f>
        <v>484.55</v>
      </c>
      <c r="Q19" s="2"/>
      <c r="R19" s="19"/>
      <c r="S19" s="2"/>
      <c r="T19" s="2"/>
      <c r="U19" s="2"/>
      <c r="V19" s="19"/>
      <c r="W19" s="2"/>
      <c r="X19" s="2">
        <f t="shared" si="2"/>
        <v>484.55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--72.96</f>
        <v>72.959999999999994</v>
      </c>
      <c r="E20" s="2"/>
      <c r="F20" s="19"/>
      <c r="G20" s="2"/>
      <c r="H20" s="2"/>
      <c r="I20" s="2"/>
      <c r="J20" s="19"/>
      <c r="K20" s="2"/>
      <c r="L20" s="2">
        <f t="shared" si="0"/>
        <v>72.959999999999994</v>
      </c>
      <c r="M20" s="2"/>
      <c r="N20" s="19">
        <f t="shared" si="1"/>
        <v>0</v>
      </c>
      <c r="O20" s="11"/>
      <c r="P20" s="2">
        <f>--473.1</f>
        <v>473.1</v>
      </c>
      <c r="Q20" s="2"/>
      <c r="R20" s="19"/>
      <c r="S20" s="2"/>
      <c r="T20" s="2"/>
      <c r="U20" s="2"/>
      <c r="V20" s="19"/>
      <c r="W20" s="2"/>
      <c r="X20" s="2">
        <f t="shared" si="2"/>
        <v>473.1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--21.42</f>
        <v>21.42</v>
      </c>
      <c r="E21" s="2"/>
      <c r="F21" s="19"/>
      <c r="G21" s="2"/>
      <c r="H21" s="2"/>
      <c r="I21" s="2"/>
      <c r="J21" s="19"/>
      <c r="K21" s="2"/>
      <c r="L21" s="2">
        <f t="shared" si="0"/>
        <v>21.42</v>
      </c>
      <c r="M21" s="2"/>
      <c r="N21" s="19">
        <f t="shared" si="1"/>
        <v>0</v>
      </c>
      <c r="O21" s="11"/>
      <c r="P21" s="2">
        <f>--486.17</f>
        <v>486.17</v>
      </c>
      <c r="Q21" s="2"/>
      <c r="R21" s="19"/>
      <c r="S21" s="2"/>
      <c r="T21" s="2"/>
      <c r="U21" s="2"/>
      <c r="V21" s="19"/>
      <c r="W21" s="2"/>
      <c r="X21" s="2">
        <f t="shared" si="2"/>
        <v>486.17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--6558.65</f>
        <v>6558.65</v>
      </c>
      <c r="E22" s="2"/>
      <c r="F22" s="19"/>
      <c r="G22" s="2"/>
      <c r="H22" s="2"/>
      <c r="I22" s="2"/>
      <c r="J22" s="19"/>
      <c r="K22" s="2"/>
      <c r="L22" s="2">
        <f t="shared" si="0"/>
        <v>6558.65</v>
      </c>
      <c r="M22" s="2"/>
      <c r="N22" s="19">
        <f t="shared" si="1"/>
        <v>0</v>
      </c>
      <c r="O22" s="11"/>
      <c r="P22" s="2">
        <f>--64070.97</f>
        <v>64070.97</v>
      </c>
      <c r="Q22" s="2"/>
      <c r="R22" s="19"/>
      <c r="S22" s="2"/>
      <c r="T22" s="2"/>
      <c r="U22" s="2"/>
      <c r="V22" s="19"/>
      <c r="W22" s="2"/>
      <c r="X22" s="2">
        <f t="shared" si="2"/>
        <v>64070.97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--2650.79</f>
        <v>2650.79</v>
      </c>
      <c r="E23" s="2"/>
      <c r="F23" s="19"/>
      <c r="G23" s="2"/>
      <c r="H23" s="2"/>
      <c r="I23" s="2"/>
      <c r="J23" s="19"/>
      <c r="K23" s="2"/>
      <c r="L23" s="2">
        <f t="shared" si="0"/>
        <v>2650.79</v>
      </c>
      <c r="M23" s="2"/>
      <c r="N23" s="19">
        <f t="shared" si="1"/>
        <v>0</v>
      </c>
      <c r="O23" s="11"/>
      <c r="P23" s="2">
        <f>--46900.17</f>
        <v>46900.17</v>
      </c>
      <c r="Q23" s="2"/>
      <c r="R23" s="19"/>
      <c r="S23" s="2"/>
      <c r="T23" s="2"/>
      <c r="U23" s="2"/>
      <c r="V23" s="19"/>
      <c r="W23" s="2"/>
      <c r="X23" s="2">
        <f t="shared" si="2"/>
        <v>46900.17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--595.72</f>
        <v>595.72</v>
      </c>
      <c r="E24" s="2"/>
      <c r="F24" s="19"/>
      <c r="G24" s="2"/>
      <c r="H24" s="2"/>
      <c r="I24" s="2"/>
      <c r="J24" s="19"/>
      <c r="K24" s="2"/>
      <c r="L24" s="2">
        <f t="shared" si="0"/>
        <v>595.72</v>
      </c>
      <c r="M24" s="2"/>
      <c r="N24" s="19">
        <f t="shared" si="1"/>
        <v>0</v>
      </c>
      <c r="O24" s="11"/>
      <c r="P24" s="2">
        <f>--4210.59</f>
        <v>4210.59</v>
      </c>
      <c r="Q24" s="2"/>
      <c r="R24" s="19"/>
      <c r="S24" s="2"/>
      <c r="T24" s="2"/>
      <c r="U24" s="2"/>
      <c r="V24" s="19"/>
      <c r="W24" s="2"/>
      <c r="X24" s="2">
        <f t="shared" si="2"/>
        <v>4210.59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--159179.58</f>
        <v>159179.57999999999</v>
      </c>
      <c r="E27" s="2"/>
      <c r="F27" s="19"/>
      <c r="G27" s="2"/>
      <c r="H27" s="2"/>
      <c r="I27" s="2"/>
      <c r="J27" s="19"/>
      <c r="K27" s="2"/>
      <c r="L27" s="2">
        <f t="shared" si="0"/>
        <v>159179.57999999999</v>
      </c>
      <c r="M27" s="2"/>
      <c r="N27" s="19">
        <f t="shared" si="1"/>
        <v>0</v>
      </c>
      <c r="O27" s="11"/>
      <c r="P27" s="2">
        <f>--913180.73</f>
        <v>913180.73</v>
      </c>
      <c r="Q27" s="2"/>
      <c r="R27" s="19"/>
      <c r="S27" s="2"/>
      <c r="T27" s="2"/>
      <c r="U27" s="2"/>
      <c r="V27" s="19"/>
      <c r="W27" s="2"/>
      <c r="X27" s="2">
        <f t="shared" si="2"/>
        <v>913180.73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--116440.2</f>
        <v>116440.2</v>
      </c>
      <c r="E28" s="2"/>
      <c r="F28" s="19"/>
      <c r="G28" s="2"/>
      <c r="H28" s="2"/>
      <c r="I28" s="2"/>
      <c r="J28" s="19"/>
      <c r="K28" s="2"/>
      <c r="L28" s="2">
        <f t="shared" si="0"/>
        <v>116440.2</v>
      </c>
      <c r="M28" s="2"/>
      <c r="N28" s="19">
        <f t="shared" si="1"/>
        <v>0</v>
      </c>
      <c r="O28" s="11"/>
      <c r="P28" s="2">
        <f>--440456.98</f>
        <v>440456.98</v>
      </c>
      <c r="Q28" s="2"/>
      <c r="R28" s="19"/>
      <c r="S28" s="2"/>
      <c r="T28" s="2"/>
      <c r="U28" s="2"/>
      <c r="V28" s="19"/>
      <c r="W28" s="2"/>
      <c r="X28" s="2">
        <f t="shared" si="2"/>
        <v>440456.98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--10630.32</f>
        <v>10630.32</v>
      </c>
      <c r="E29" s="2"/>
      <c r="F29" s="19"/>
      <c r="G29" s="2"/>
      <c r="H29" s="2"/>
      <c r="I29" s="2"/>
      <c r="J29" s="19"/>
      <c r="K29" s="2"/>
      <c r="L29" s="2">
        <f t="shared" si="0"/>
        <v>10630.32</v>
      </c>
      <c r="M29" s="2"/>
      <c r="N29" s="19">
        <f t="shared" si="1"/>
        <v>0</v>
      </c>
      <c r="O29" s="11"/>
      <c r="P29" s="2">
        <f>--100678.52</f>
        <v>100678.52</v>
      </c>
      <c r="Q29" s="2"/>
      <c r="R29" s="19"/>
      <c r="S29" s="2"/>
      <c r="T29" s="2"/>
      <c r="U29" s="2"/>
      <c r="V29" s="19"/>
      <c r="W29" s="2"/>
      <c r="X29" s="2">
        <f t="shared" si="2"/>
        <v>100678.52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--4423.21</f>
        <v>4423.21</v>
      </c>
      <c r="E30" s="2"/>
      <c r="F30" s="19"/>
      <c r="G30" s="2"/>
      <c r="H30" s="2"/>
      <c r="I30" s="2"/>
      <c r="J30" s="19"/>
      <c r="K30" s="2"/>
      <c r="L30" s="2">
        <f t="shared" si="0"/>
        <v>4423.21</v>
      </c>
      <c r="M30" s="2"/>
      <c r="N30" s="19">
        <f t="shared" si="1"/>
        <v>0</v>
      </c>
      <c r="O30" s="11"/>
      <c r="P30" s="2">
        <f>--136859.38</f>
        <v>136859.38</v>
      </c>
      <c r="Q30" s="2"/>
      <c r="R30" s="19"/>
      <c r="S30" s="2"/>
      <c r="T30" s="2"/>
      <c r="U30" s="2"/>
      <c r="V30" s="19"/>
      <c r="W30" s="2"/>
      <c r="X30" s="2">
        <f t="shared" si="2"/>
        <v>136859.38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--4745.38</f>
        <v>4745.38</v>
      </c>
      <c r="E31" s="2"/>
      <c r="F31" s="19"/>
      <c r="G31" s="2"/>
      <c r="H31" s="2"/>
      <c r="I31" s="2"/>
      <c r="J31" s="19"/>
      <c r="K31" s="2"/>
      <c r="L31" s="2">
        <f t="shared" si="0"/>
        <v>4745.38</v>
      </c>
      <c r="M31" s="2"/>
      <c r="N31" s="19">
        <f t="shared" si="1"/>
        <v>0</v>
      </c>
      <c r="O31" s="11"/>
      <c r="P31" s="2">
        <f>--36092.23</f>
        <v>36092.230000000003</v>
      </c>
      <c r="Q31" s="2"/>
      <c r="R31" s="19"/>
      <c r="S31" s="2"/>
      <c r="T31" s="2"/>
      <c r="U31" s="2"/>
      <c r="V31" s="19"/>
      <c r="W31" s="2"/>
      <c r="X31" s="2">
        <f t="shared" si="2"/>
        <v>36092.230000000003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--63044.9</f>
        <v>63044.9</v>
      </c>
      <c r="E32" s="2"/>
      <c r="F32" s="19"/>
      <c r="G32" s="2"/>
      <c r="H32" s="2"/>
      <c r="I32" s="2"/>
      <c r="J32" s="19"/>
      <c r="K32" s="2"/>
      <c r="L32" s="2">
        <f t="shared" si="0"/>
        <v>63044.9</v>
      </c>
      <c r="M32" s="2"/>
      <c r="N32" s="19">
        <f t="shared" si="1"/>
        <v>0</v>
      </c>
      <c r="O32" s="11"/>
      <c r="P32" s="2">
        <f>--207242.34</f>
        <v>207242.34</v>
      </c>
      <c r="Q32" s="2"/>
      <c r="R32" s="19"/>
      <c r="S32" s="2"/>
      <c r="T32" s="2"/>
      <c r="U32" s="2"/>
      <c r="V32" s="19"/>
      <c r="W32" s="2"/>
      <c r="X32" s="2">
        <f t="shared" si="2"/>
        <v>207242.34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--6552.2</f>
        <v>6552.2</v>
      </c>
      <c r="E33" s="2"/>
      <c r="F33" s="19"/>
      <c r="G33" s="2"/>
      <c r="H33" s="2"/>
      <c r="I33" s="2"/>
      <c r="J33" s="19"/>
      <c r="K33" s="2"/>
      <c r="L33" s="2">
        <f t="shared" si="0"/>
        <v>6552.2</v>
      </c>
      <c r="M33" s="2"/>
      <c r="N33" s="19">
        <f t="shared" si="1"/>
        <v>0</v>
      </c>
      <c r="O33" s="11"/>
      <c r="P33" s="2">
        <f>--32121.26</f>
        <v>32121.26</v>
      </c>
      <c r="Q33" s="2"/>
      <c r="R33" s="19"/>
      <c r="S33" s="2"/>
      <c r="T33" s="2"/>
      <c r="U33" s="2"/>
      <c r="V33" s="19"/>
      <c r="W33" s="2"/>
      <c r="X33" s="2">
        <f t="shared" si="2"/>
        <v>32121.26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--48734.68</f>
        <v>48734.68</v>
      </c>
      <c r="E34" s="2"/>
      <c r="F34" s="19"/>
      <c r="G34" s="2"/>
      <c r="H34" s="2"/>
      <c r="I34" s="2"/>
      <c r="J34" s="19"/>
      <c r="K34" s="2"/>
      <c r="L34" s="2">
        <f t="shared" si="0"/>
        <v>48734.68</v>
      </c>
      <c r="M34" s="2"/>
      <c r="N34" s="19">
        <f t="shared" si="1"/>
        <v>0</v>
      </c>
      <c r="O34" s="11"/>
      <c r="P34" s="2">
        <f>--380674.79</f>
        <v>380674.79</v>
      </c>
      <c r="Q34" s="2"/>
      <c r="R34" s="19"/>
      <c r="S34" s="2"/>
      <c r="T34" s="2"/>
      <c r="U34" s="2"/>
      <c r="V34" s="19"/>
      <c r="W34" s="2"/>
      <c r="X34" s="2">
        <f t="shared" si="2"/>
        <v>380674.79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--161.18</f>
        <v>161.18</v>
      </c>
      <c r="E35" s="2"/>
      <c r="F35" s="19"/>
      <c r="G35" s="2"/>
      <c r="H35" s="2"/>
      <c r="I35" s="2"/>
      <c r="J35" s="19"/>
      <c r="K35" s="2"/>
      <c r="L35" s="2">
        <f t="shared" si="0"/>
        <v>161.18</v>
      </c>
      <c r="M35" s="2"/>
      <c r="N35" s="19">
        <f t="shared" si="1"/>
        <v>0</v>
      </c>
      <c r="O35" s="11"/>
      <c r="P35" s="2">
        <f>--1084.9</f>
        <v>1084.9000000000001</v>
      </c>
      <c r="Q35" s="2"/>
      <c r="R35" s="19"/>
      <c r="S35" s="2"/>
      <c r="T35" s="2"/>
      <c r="U35" s="2"/>
      <c r="V35" s="19"/>
      <c r="W35" s="2"/>
      <c r="X35" s="2">
        <f t="shared" si="2"/>
        <v>1084.9000000000001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--974.91</f>
        <v>974.91</v>
      </c>
      <c r="Q36" s="2"/>
      <c r="R36" s="19"/>
      <c r="S36" s="2"/>
      <c r="T36" s="2"/>
      <c r="U36" s="2"/>
      <c r="V36" s="19"/>
      <c r="W36" s="2"/>
      <c r="X36" s="2">
        <f t="shared" si="2"/>
        <v>974.91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>--1628.82</f>
        <v>1628.82</v>
      </c>
      <c r="E37" s="2"/>
      <c r="F37" s="19"/>
      <c r="G37" s="2"/>
      <c r="H37" s="2"/>
      <c r="I37" s="2"/>
      <c r="J37" s="19"/>
      <c r="K37" s="2"/>
      <c r="L37" s="2">
        <f t="shared" si="0"/>
        <v>1628.82</v>
      </c>
      <c r="M37" s="2"/>
      <c r="N37" s="19">
        <f t="shared" si="1"/>
        <v>0</v>
      </c>
      <c r="O37" s="11"/>
      <c r="P37" s="2">
        <f>--62168.02</f>
        <v>62168.02</v>
      </c>
      <c r="Q37" s="2"/>
      <c r="R37" s="19"/>
      <c r="S37" s="2"/>
      <c r="T37" s="2"/>
      <c r="U37" s="2"/>
      <c r="V37" s="19"/>
      <c r="W37" s="2"/>
      <c r="X37" s="2">
        <f t="shared" si="2"/>
        <v>62168.02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--354181.27</f>
        <v>354181.27</v>
      </c>
      <c r="E38" s="2"/>
      <c r="F38" s="19"/>
      <c r="G38" s="2"/>
      <c r="H38" s="2"/>
      <c r="I38" s="2"/>
      <c r="J38" s="19"/>
      <c r="K38" s="2"/>
      <c r="L38" s="2">
        <f t="shared" si="0"/>
        <v>354181.27</v>
      </c>
      <c r="M38" s="2"/>
      <c r="N38" s="19">
        <f t="shared" si="1"/>
        <v>0</v>
      </c>
      <c r="O38" s="11"/>
      <c r="P38" s="2">
        <f>--2012047.63</f>
        <v>2012047.63</v>
      </c>
      <c r="Q38" s="2"/>
      <c r="R38" s="19"/>
      <c r="S38" s="2"/>
      <c r="T38" s="2"/>
      <c r="U38" s="2"/>
      <c r="V38" s="19"/>
      <c r="W38" s="2"/>
      <c r="X38" s="2">
        <f t="shared" si="2"/>
        <v>2012047.63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--7273.67</f>
        <v>7273.67</v>
      </c>
      <c r="E39" s="2"/>
      <c r="F39" s="19"/>
      <c r="G39" s="2"/>
      <c r="H39" s="2"/>
      <c r="I39" s="2"/>
      <c r="J39" s="19"/>
      <c r="K39" s="2"/>
      <c r="L39" s="2">
        <f t="shared" si="0"/>
        <v>7273.67</v>
      </c>
      <c r="M39" s="2"/>
      <c r="N39" s="19">
        <f t="shared" si="1"/>
        <v>0</v>
      </c>
      <c r="O39" s="11"/>
      <c r="P39" s="2">
        <f>--126942.93</f>
        <v>126942.93</v>
      </c>
      <c r="Q39" s="2"/>
      <c r="R39" s="19"/>
      <c r="S39" s="2"/>
      <c r="T39" s="2"/>
      <c r="U39" s="2"/>
      <c r="V39" s="19"/>
      <c r="W39" s="2"/>
      <c r="X39" s="2">
        <f t="shared" si="2"/>
        <v>126942.93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>--1771.88</f>
        <v>1771.88</v>
      </c>
      <c r="E40" s="2"/>
      <c r="F40" s="19"/>
      <c r="G40" s="2"/>
      <c r="H40" s="2"/>
      <c r="I40" s="2"/>
      <c r="J40" s="19"/>
      <c r="K40" s="2"/>
      <c r="L40" s="2">
        <f t="shared" si="0"/>
        <v>1771.88</v>
      </c>
      <c r="M40" s="2"/>
      <c r="N40" s="19">
        <f t="shared" si="1"/>
        <v>0</v>
      </c>
      <c r="O40" s="11"/>
      <c r="P40" s="2">
        <f>--4870.79</f>
        <v>4870.79</v>
      </c>
      <c r="Q40" s="2"/>
      <c r="R40" s="19"/>
      <c r="S40" s="2"/>
      <c r="T40" s="2"/>
      <c r="U40" s="2"/>
      <c r="V40" s="19"/>
      <c r="W40" s="2"/>
      <c r="X40" s="2">
        <f t="shared" si="2"/>
        <v>4870.79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--5818.73</f>
        <v>5818.73</v>
      </c>
      <c r="E41" s="2"/>
      <c r="F41" s="19"/>
      <c r="G41" s="2"/>
      <c r="H41" s="2"/>
      <c r="I41" s="2"/>
      <c r="J41" s="19"/>
      <c r="K41" s="2"/>
      <c r="L41" s="2">
        <f t="shared" si="0"/>
        <v>5818.73</v>
      </c>
      <c r="M41" s="2"/>
      <c r="N41" s="19">
        <f t="shared" si="1"/>
        <v>0</v>
      </c>
      <c r="O41" s="11"/>
      <c r="P41" s="2">
        <f>--65269.63</f>
        <v>65269.63</v>
      </c>
      <c r="Q41" s="2"/>
      <c r="R41" s="19"/>
      <c r="S41" s="2"/>
      <c r="T41" s="2"/>
      <c r="U41" s="2"/>
      <c r="V41" s="19"/>
      <c r="W41" s="2"/>
      <c r="X41" s="2">
        <f t="shared" si="2"/>
        <v>65269.63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"4095", " - ", "TAXABLE SALES-CUSTOMER SERVICE")</f>
        <v xml:space="preserve">          4095 - TAXABLE SALES-CUSTOMER SERVICE</v>
      </c>
      <c r="C42" s="11"/>
      <c r="D42" s="2">
        <f>--2119.46</f>
        <v>2119.46</v>
      </c>
      <c r="E42" s="2"/>
      <c r="F42" s="19"/>
      <c r="G42" s="2"/>
      <c r="H42" s="2"/>
      <c r="I42" s="2"/>
      <c r="J42" s="19"/>
      <c r="K42" s="2"/>
      <c r="L42" s="2">
        <f t="shared" si="0"/>
        <v>2119.46</v>
      </c>
      <c r="M42" s="2"/>
      <c r="N42" s="19">
        <f t="shared" si="1"/>
        <v>0</v>
      </c>
      <c r="O42" s="11"/>
      <c r="P42" s="2">
        <f>--3034.59</f>
        <v>3034.59</v>
      </c>
      <c r="Q42" s="2"/>
      <c r="R42" s="19"/>
      <c r="S42" s="2"/>
      <c r="T42" s="2"/>
      <c r="U42" s="2"/>
      <c r="V42" s="19"/>
      <c r="W42" s="2"/>
      <c r="X42" s="2">
        <f t="shared" si="2"/>
        <v>3034.59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"4100", " - ", "NON-TAXABLE SALES")</f>
        <v xml:space="preserve">          4100 - NON-TAXABLE SALES</v>
      </c>
      <c r="C43" s="11"/>
      <c r="D43" s="2">
        <f>--21288.67</f>
        <v>21288.67</v>
      </c>
      <c r="E43" s="2"/>
      <c r="F43" s="19"/>
      <c r="G43" s="2"/>
      <c r="H43" s="2">
        <v>722552</v>
      </c>
      <c r="I43" s="2"/>
      <c r="J43" s="19"/>
      <c r="K43" s="2"/>
      <c r="L43" s="2">
        <f t="shared" si="0"/>
        <v>-701263.33</v>
      </c>
      <c r="M43" s="2"/>
      <c r="N43" s="19">
        <f t="shared" si="1"/>
        <v>-0.97053683333517859</v>
      </c>
      <c r="O43" s="11"/>
      <c r="P43" s="2">
        <f>--751391.77</f>
        <v>751391.77</v>
      </c>
      <c r="Q43" s="2"/>
      <c r="R43" s="19"/>
      <c r="S43" s="2"/>
      <c r="T43" s="2">
        <v>5245001</v>
      </c>
      <c r="U43" s="2"/>
      <c r="V43" s="19"/>
      <c r="W43" s="2"/>
      <c r="X43" s="2">
        <f t="shared" si="2"/>
        <v>-4493609.2300000004</v>
      </c>
      <c r="Y43" s="2"/>
      <c r="Z43" s="19">
        <f t="shared" si="3"/>
        <v>-0.85674134857171624</v>
      </c>
    </row>
    <row r="44" spans="1:26" s="24" customFormat="1" hidden="1" outlineLevel="1" x14ac:dyDescent="0.25">
      <c r="A44" s="44"/>
      <c r="B44" s="11" t="str">
        <f>CONCATENATE("          ", "4101", " - ", "NON-TAXABLE SALES-NEW TEXT")</f>
        <v xml:space="preserve">          4101 - NON-TAXABLE SALES-NEW TEXT</v>
      </c>
      <c r="C44" s="11"/>
      <c r="D44" s="2">
        <f>--741.03</f>
        <v>741.03</v>
      </c>
      <c r="E44" s="2"/>
      <c r="F44" s="19"/>
      <c r="G44" s="2"/>
      <c r="H44" s="2"/>
      <c r="I44" s="2"/>
      <c r="J44" s="19"/>
      <c r="K44" s="2"/>
      <c r="L44" s="2">
        <f t="shared" si="0"/>
        <v>741.03</v>
      </c>
      <c r="M44" s="2"/>
      <c r="N44" s="19">
        <f t="shared" si="1"/>
        <v>0</v>
      </c>
      <c r="O44" s="11"/>
      <c r="P44" s="2">
        <f>--112796.74</f>
        <v>112796.74</v>
      </c>
      <c r="Q44" s="2"/>
      <c r="R44" s="19"/>
      <c r="S44" s="2"/>
      <c r="T44" s="2"/>
      <c r="U44" s="2"/>
      <c r="V44" s="19"/>
      <c r="W44" s="2"/>
      <c r="X44" s="2">
        <f t="shared" si="2"/>
        <v>112796.74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"4102", " - ", "NON-TAXABLE SALES-USED TEXT")</f>
        <v xml:space="preserve">          4102 - NON-TAXABLE SALES-USED TEXT</v>
      </c>
      <c r="C45" s="11"/>
      <c r="D45" s="2">
        <f>--743.99</f>
        <v>743.99</v>
      </c>
      <c r="E45" s="2"/>
      <c r="F45" s="19"/>
      <c r="G45" s="2"/>
      <c r="H45" s="2"/>
      <c r="I45" s="2"/>
      <c r="J45" s="19"/>
      <c r="K45" s="2"/>
      <c r="L45" s="2">
        <f t="shared" si="0"/>
        <v>743.99</v>
      </c>
      <c r="M45" s="2"/>
      <c r="N45" s="19">
        <f t="shared" si="1"/>
        <v>0</v>
      </c>
      <c r="O45" s="11"/>
      <c r="P45" s="2">
        <f>--48703.42</f>
        <v>48703.42</v>
      </c>
      <c r="Q45" s="2"/>
      <c r="R45" s="19"/>
      <c r="S45" s="2"/>
      <c r="T45" s="2"/>
      <c r="U45" s="2"/>
      <c r="V45" s="19"/>
      <c r="W45" s="2"/>
      <c r="X45" s="2">
        <f t="shared" si="2"/>
        <v>48703.42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"4103", " - ", "NON-TAXABLE SALES-RENTAL TEXT")</f>
        <v xml:space="preserve">          4103 - NON-TAXABLE SALES-RENTAL TEXT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--1138.95</f>
        <v>1138.95</v>
      </c>
      <c r="Q46" s="2"/>
      <c r="R46" s="19"/>
      <c r="S46" s="2"/>
      <c r="T46" s="2"/>
      <c r="U46" s="2"/>
      <c r="V46" s="19"/>
      <c r="W46" s="2"/>
      <c r="X46" s="2">
        <f t="shared" si="2"/>
        <v>1138.95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"4104", " - ", "NON-TAXABLE SALES-DIGITAL TEXT")</f>
        <v xml:space="preserve">          4104 - NON-TAXABLE SALES-DIGITAL TEXT</v>
      </c>
      <c r="C47" s="11"/>
      <c r="D47" s="2">
        <f>--3431.99</f>
        <v>3431.99</v>
      </c>
      <c r="E47" s="2"/>
      <c r="F47" s="19"/>
      <c r="G47" s="2"/>
      <c r="H47" s="2"/>
      <c r="I47" s="2"/>
      <c r="J47" s="19"/>
      <c r="K47" s="2"/>
      <c r="L47" s="2">
        <f t="shared" si="0"/>
        <v>3431.99</v>
      </c>
      <c r="M47" s="2"/>
      <c r="N47" s="19">
        <f t="shared" si="1"/>
        <v>0</v>
      </c>
      <c r="O47" s="11"/>
      <c r="P47" s="2">
        <f>--480403.17</f>
        <v>480403.17</v>
      </c>
      <c r="Q47" s="2"/>
      <c r="R47" s="19"/>
      <c r="S47" s="2"/>
      <c r="T47" s="2"/>
      <c r="U47" s="2"/>
      <c r="V47" s="19"/>
      <c r="W47" s="2"/>
      <c r="X47" s="2">
        <f t="shared" si="2"/>
        <v>480403.17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"4113", " - ", "NON-TAXABLE SALES-TRADE BOOKS")</f>
        <v xml:space="preserve">          4113 - NON-TAXABLE SALES-TRADE BOOKS</v>
      </c>
      <c r="C48" s="11"/>
      <c r="D48" s="2">
        <f>--738</f>
        <v>738</v>
      </c>
      <c r="E48" s="2"/>
      <c r="F48" s="19"/>
      <c r="G48" s="2"/>
      <c r="H48" s="2"/>
      <c r="I48" s="2"/>
      <c r="J48" s="19"/>
      <c r="K48" s="2"/>
      <c r="L48" s="2">
        <f t="shared" si="0"/>
        <v>738</v>
      </c>
      <c r="M48" s="2"/>
      <c r="N48" s="19">
        <f t="shared" si="1"/>
        <v>0</v>
      </c>
      <c r="O48" s="11"/>
      <c r="P48" s="2">
        <f>--12127.25</f>
        <v>12127.25</v>
      </c>
      <c r="Q48" s="2"/>
      <c r="R48" s="19"/>
      <c r="S48" s="2"/>
      <c r="T48" s="2"/>
      <c r="U48" s="2"/>
      <c r="V48" s="19"/>
      <c r="W48" s="2"/>
      <c r="X48" s="2">
        <f t="shared" si="2"/>
        <v>12127.25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"4118", " - ", "NON-TAXABLE SALES-STUDY GUIDES")</f>
        <v xml:space="preserve">          4118 - NON-TAXABLE SALES-STUDY GUIDES</v>
      </c>
      <c r="C49" s="11"/>
      <c r="D49" s="2">
        <f t="shared" ref="D49:D50" si="5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--771.73</f>
        <v>771.73</v>
      </c>
      <c r="Q49" s="2"/>
      <c r="R49" s="19"/>
      <c r="S49" s="2"/>
      <c r="T49" s="2"/>
      <c r="U49" s="2"/>
      <c r="V49" s="19"/>
      <c r="W49" s="2"/>
      <c r="X49" s="2">
        <f t="shared" si="2"/>
        <v>771.73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"4126", " - ", "NON-TAXABLE SALES-WRITING INST")</f>
        <v xml:space="preserve">          4126 - NON-TAXABLE SALES-WRITING INST</v>
      </c>
      <c r="C50" s="11"/>
      <c r="D50" s="2">
        <f t="shared" si="5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--52.68</f>
        <v>52.68</v>
      </c>
      <c r="Q50" s="2"/>
      <c r="R50" s="19"/>
      <c r="S50" s="2"/>
      <c r="T50" s="2"/>
      <c r="U50" s="2"/>
      <c r="V50" s="19"/>
      <c r="W50" s="2"/>
      <c r="X50" s="2">
        <f t="shared" si="2"/>
        <v>52.68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"4127", " - ", "NON-TAXABLE SALES-SCHOOL SUPPL")</f>
        <v xml:space="preserve">          4127 - NON-TAXABLE SALES-SCHOOL SUPPL</v>
      </c>
      <c r="C51" s="11"/>
      <c r="D51" s="2">
        <f>--493.37</f>
        <v>493.37</v>
      </c>
      <c r="E51" s="2"/>
      <c r="F51" s="19"/>
      <c r="G51" s="2"/>
      <c r="H51" s="2"/>
      <c r="I51" s="2"/>
      <c r="J51" s="19"/>
      <c r="K51" s="2"/>
      <c r="L51" s="2">
        <f t="shared" si="0"/>
        <v>493.37</v>
      </c>
      <c r="M51" s="2"/>
      <c r="N51" s="19">
        <f t="shared" si="1"/>
        <v>0</v>
      </c>
      <c r="O51" s="11"/>
      <c r="P51" s="2">
        <f>--7100.68</f>
        <v>7100.68</v>
      </c>
      <c r="Q51" s="2"/>
      <c r="R51" s="19"/>
      <c r="S51" s="2"/>
      <c r="T51" s="2"/>
      <c r="U51" s="2"/>
      <c r="V51" s="19"/>
      <c r="W51" s="2"/>
      <c r="X51" s="2">
        <f t="shared" si="2"/>
        <v>7100.68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"4128", " - ", "NON-TAXABLE SALES-ART/TECH")</f>
        <v xml:space="preserve">          4128 - NON-TAXABLE SALES-ART/TECH</v>
      </c>
      <c r="C52" s="11"/>
      <c r="D52" s="2">
        <f>--31.37</f>
        <v>31.37</v>
      </c>
      <c r="E52" s="2"/>
      <c r="F52" s="19"/>
      <c r="G52" s="2"/>
      <c r="H52" s="2"/>
      <c r="I52" s="2"/>
      <c r="J52" s="19"/>
      <c r="K52" s="2"/>
      <c r="L52" s="2">
        <f t="shared" si="0"/>
        <v>31.37</v>
      </c>
      <c r="M52" s="2"/>
      <c r="N52" s="19">
        <f t="shared" si="1"/>
        <v>0</v>
      </c>
      <c r="O52" s="11"/>
      <c r="P52" s="2">
        <f>--69.95</f>
        <v>69.95</v>
      </c>
      <c r="Q52" s="2"/>
      <c r="R52" s="19"/>
      <c r="S52" s="2"/>
      <c r="T52" s="2"/>
      <c r="U52" s="2"/>
      <c r="V52" s="19"/>
      <c r="W52" s="2"/>
      <c r="X52" s="2">
        <f t="shared" si="2"/>
        <v>69.95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"4131", " - ", "NON-TAXABLE SALES-FOOD")</f>
        <v xml:space="preserve">          4131 - NON-TAXABLE SALES-FOOD</v>
      </c>
      <c r="C53" s="11"/>
      <c r="D53" s="2">
        <f>--975.93</f>
        <v>975.93</v>
      </c>
      <c r="E53" s="2"/>
      <c r="F53" s="19"/>
      <c r="G53" s="2"/>
      <c r="H53" s="2"/>
      <c r="I53" s="2"/>
      <c r="J53" s="19"/>
      <c r="K53" s="2"/>
      <c r="L53" s="2">
        <f t="shared" si="0"/>
        <v>975.93</v>
      </c>
      <c r="M53" s="2"/>
      <c r="N53" s="19">
        <f t="shared" si="1"/>
        <v>0</v>
      </c>
      <c r="O53" s="11"/>
      <c r="P53" s="2">
        <f>--11380.36</f>
        <v>11380.36</v>
      </c>
      <c r="Q53" s="2"/>
      <c r="R53" s="19"/>
      <c r="S53" s="2"/>
      <c r="T53" s="2"/>
      <c r="U53" s="2"/>
      <c r="V53" s="19"/>
      <c r="W53" s="2"/>
      <c r="X53" s="2">
        <f t="shared" si="2"/>
        <v>11380.36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"4132", " - ", "NON-TAXABLE SALES-JUICE")</f>
        <v xml:space="preserve">          4132 - NON-TAXABLE SALES-JUICE</v>
      </c>
      <c r="C54" s="11"/>
      <c r="D54" s="2">
        <f t="shared" ref="D54:D57" si="6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--2054.37</f>
        <v>2054.37</v>
      </c>
      <c r="Q54" s="2"/>
      <c r="R54" s="19"/>
      <c r="S54" s="2"/>
      <c r="T54" s="2"/>
      <c r="U54" s="2"/>
      <c r="V54" s="19"/>
      <c r="W54" s="2"/>
      <c r="X54" s="2">
        <f t="shared" si="2"/>
        <v>2054.37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"4133", " - ", "NON-TAXABLE SALES-CANDY")</f>
        <v xml:space="preserve">          4133 - NON-TAXABLE SALES-CANDY</v>
      </c>
      <c r="C55" s="11"/>
      <c r="D55" s="2">
        <f t="shared" si="6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--80.71</f>
        <v>80.709999999999994</v>
      </c>
      <c r="Q55" s="2"/>
      <c r="R55" s="19"/>
      <c r="S55" s="2"/>
      <c r="T55" s="2"/>
      <c r="U55" s="2"/>
      <c r="V55" s="19"/>
      <c r="W55" s="2"/>
      <c r="X55" s="2">
        <f t="shared" si="2"/>
        <v>80.709999999999994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"4134", " - ", "NON-TAXABLE SALES-SODA")</f>
        <v xml:space="preserve">          4134 - NON-TAXABLE SALES-SODA</v>
      </c>
      <c r="C56" s="11"/>
      <c r="D56" s="2">
        <f t="shared" si="6"/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--45.53</f>
        <v>45.53</v>
      </c>
      <c r="Q56" s="2"/>
      <c r="R56" s="19"/>
      <c r="S56" s="2"/>
      <c r="T56" s="2"/>
      <c r="U56" s="2"/>
      <c r="V56" s="19"/>
      <c r="W56" s="2"/>
      <c r="X56" s="2">
        <f t="shared" si="2"/>
        <v>45.53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"4137", " - ", "NON-TAXABLE SALES-WATER")</f>
        <v xml:space="preserve">          4137 - NON-TAXABLE SALES-WATER</v>
      </c>
      <c r="C57" s="11"/>
      <c r="D57" s="2">
        <f t="shared" si="6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--68.25</f>
        <v>68.25</v>
      </c>
      <c r="Q57" s="2"/>
      <c r="R57" s="19"/>
      <c r="S57" s="2"/>
      <c r="T57" s="2"/>
      <c r="U57" s="2"/>
      <c r="V57" s="19"/>
      <c r="W57" s="2"/>
      <c r="X57" s="2">
        <f t="shared" si="2"/>
        <v>68.25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"4140", " - ", "NON-TAXABLE SALES-LOGO CLOTHIN")</f>
        <v xml:space="preserve">          4140 - NON-TAXABLE SALES-LOGO CLOTHIN</v>
      </c>
      <c r="C58" s="11"/>
      <c r="D58" s="2">
        <f>--23040.7</f>
        <v>23040.7</v>
      </c>
      <c r="E58" s="2"/>
      <c r="F58" s="19"/>
      <c r="G58" s="2"/>
      <c r="H58" s="2"/>
      <c r="I58" s="2"/>
      <c r="J58" s="19"/>
      <c r="K58" s="2"/>
      <c r="L58" s="2">
        <f t="shared" si="0"/>
        <v>23040.7</v>
      </c>
      <c r="M58" s="2"/>
      <c r="N58" s="19">
        <f t="shared" si="1"/>
        <v>0</v>
      </c>
      <c r="O58" s="11"/>
      <c r="P58" s="2">
        <f>--154792.39</f>
        <v>154792.39000000001</v>
      </c>
      <c r="Q58" s="2"/>
      <c r="R58" s="19"/>
      <c r="S58" s="2"/>
      <c r="T58" s="2"/>
      <c r="U58" s="2"/>
      <c r="V58" s="19"/>
      <c r="W58" s="2"/>
      <c r="X58" s="2">
        <f t="shared" si="2"/>
        <v>154792.39000000001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"4141", " - ", "NON-TAXABLE SALES-LOGO GIFTS")</f>
        <v xml:space="preserve">          4141 - NON-TAXABLE SALES-LOGO GIFTS</v>
      </c>
      <c r="C59" s="11"/>
      <c r="D59" s="2">
        <f>--27228.57</f>
        <v>27228.57</v>
      </c>
      <c r="E59" s="2"/>
      <c r="F59" s="19"/>
      <c r="G59" s="2"/>
      <c r="H59" s="2"/>
      <c r="I59" s="2"/>
      <c r="J59" s="19"/>
      <c r="K59" s="2"/>
      <c r="L59" s="2">
        <f t="shared" si="0"/>
        <v>27228.57</v>
      </c>
      <c r="M59" s="2"/>
      <c r="N59" s="19">
        <f t="shared" si="1"/>
        <v>0</v>
      </c>
      <c r="O59" s="11"/>
      <c r="P59" s="2">
        <f>--36796.81</f>
        <v>36796.81</v>
      </c>
      <c r="Q59" s="2"/>
      <c r="R59" s="19"/>
      <c r="S59" s="2"/>
      <c r="T59" s="2"/>
      <c r="U59" s="2"/>
      <c r="V59" s="19"/>
      <c r="W59" s="2"/>
      <c r="X59" s="2">
        <f t="shared" si="2"/>
        <v>36796.81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"4142", " - ", "NON-TAXABLE SALES-EVERYDAY GIF")</f>
        <v xml:space="preserve">          4142 - NON-TAXABLE SALES-EVERYDAY GIF</v>
      </c>
      <c r="C60" s="11"/>
      <c r="D60" s="2">
        <f>--306.73</f>
        <v>306.73</v>
      </c>
      <c r="E60" s="2"/>
      <c r="F60" s="19"/>
      <c r="G60" s="2"/>
      <c r="H60" s="2"/>
      <c r="I60" s="2"/>
      <c r="J60" s="19"/>
      <c r="K60" s="2"/>
      <c r="L60" s="2">
        <f t="shared" si="0"/>
        <v>306.73</v>
      </c>
      <c r="M60" s="2"/>
      <c r="N60" s="19">
        <f t="shared" si="1"/>
        <v>0</v>
      </c>
      <c r="O60" s="11"/>
      <c r="P60" s="2">
        <f>--2588.1</f>
        <v>2588.1</v>
      </c>
      <c r="Q60" s="2"/>
      <c r="R60" s="19"/>
      <c r="S60" s="2"/>
      <c r="T60" s="2"/>
      <c r="U60" s="2"/>
      <c r="V60" s="19"/>
      <c r="W60" s="2"/>
      <c r="X60" s="2">
        <f t="shared" si="2"/>
        <v>2588.1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"4143", " - ", "NON-TAXABLE SALES-CARDS")</f>
        <v xml:space="preserve">          4143 - NON-TAXABLE SALES-CARDS</v>
      </c>
      <c r="C61" s="11"/>
      <c r="D61" s="2">
        <f>--49.97</f>
        <v>49.97</v>
      </c>
      <c r="E61" s="2"/>
      <c r="F61" s="19"/>
      <c r="G61" s="2"/>
      <c r="H61" s="2"/>
      <c r="I61" s="2"/>
      <c r="J61" s="19"/>
      <c r="K61" s="2"/>
      <c r="L61" s="2">
        <f t="shared" si="0"/>
        <v>49.97</v>
      </c>
      <c r="M61" s="2"/>
      <c r="N61" s="19">
        <f t="shared" si="1"/>
        <v>0</v>
      </c>
      <c r="O61" s="11"/>
      <c r="P61" s="2">
        <f>--2431.45</f>
        <v>2431.4499999999998</v>
      </c>
      <c r="Q61" s="2"/>
      <c r="R61" s="19"/>
      <c r="S61" s="2"/>
      <c r="T61" s="2"/>
      <c r="U61" s="2"/>
      <c r="V61" s="19"/>
      <c r="W61" s="2"/>
      <c r="X61" s="2">
        <f t="shared" si="2"/>
        <v>2431.4499999999998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"4144", " - ", "NON-TAXABLE SALES-ACCESSORIES")</f>
        <v xml:space="preserve">          4144 - NON-TAXABLE SALES-ACCESSORIES</v>
      </c>
      <c r="C62" s="11"/>
      <c r="D62" s="2">
        <f>--29.85</f>
        <v>29.85</v>
      </c>
      <c r="E62" s="2"/>
      <c r="F62" s="19"/>
      <c r="G62" s="2"/>
      <c r="H62" s="2"/>
      <c r="I62" s="2"/>
      <c r="J62" s="19"/>
      <c r="K62" s="2"/>
      <c r="L62" s="2">
        <f t="shared" si="0"/>
        <v>29.85</v>
      </c>
      <c r="M62" s="2"/>
      <c r="N62" s="19">
        <f t="shared" si="1"/>
        <v>0</v>
      </c>
      <c r="O62" s="11"/>
      <c r="P62" s="2">
        <f>--709.1</f>
        <v>709.1</v>
      </c>
      <c r="Q62" s="2"/>
      <c r="R62" s="19"/>
      <c r="S62" s="2"/>
      <c r="T62" s="2"/>
      <c r="U62" s="2"/>
      <c r="V62" s="19"/>
      <c r="W62" s="2"/>
      <c r="X62" s="2">
        <f t="shared" si="2"/>
        <v>709.1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"4145", " - ", "NON-TAXABLE SALES-SPECIAL ORDE")</f>
        <v xml:space="preserve">          4145 - NON-TAXABLE SALES-SPECIAL ORDE</v>
      </c>
      <c r="C63" s="11"/>
      <c r="D63" s="2">
        <f>--20350.8</f>
        <v>20350.8</v>
      </c>
      <c r="E63" s="2"/>
      <c r="F63" s="19"/>
      <c r="G63" s="2"/>
      <c r="H63" s="2"/>
      <c r="I63" s="2"/>
      <c r="J63" s="19"/>
      <c r="K63" s="2"/>
      <c r="L63" s="2">
        <f t="shared" si="0"/>
        <v>20350.8</v>
      </c>
      <c r="M63" s="2"/>
      <c r="N63" s="19">
        <f t="shared" si="1"/>
        <v>0</v>
      </c>
      <c r="O63" s="11"/>
      <c r="P63" s="2">
        <f>--74066.89</f>
        <v>74066.89</v>
      </c>
      <c r="Q63" s="2"/>
      <c r="R63" s="19"/>
      <c r="S63" s="2"/>
      <c r="T63" s="2"/>
      <c r="U63" s="2"/>
      <c r="V63" s="19"/>
      <c r="W63" s="2"/>
      <c r="X63" s="2">
        <f t="shared" si="2"/>
        <v>74066.89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"4146", " - ", "NON-TAXABLE SALES-COIN OP MACH")</f>
        <v xml:space="preserve">          4146 - NON-TAXABLE SALES-COIN OP MACH</v>
      </c>
      <c r="C64" s="11"/>
      <c r="D64" s="2">
        <f>--30.2</f>
        <v>30.2</v>
      </c>
      <c r="E64" s="2"/>
      <c r="F64" s="19"/>
      <c r="G64" s="2"/>
      <c r="H64" s="2"/>
      <c r="I64" s="2"/>
      <c r="J64" s="19"/>
      <c r="K64" s="2"/>
      <c r="L64" s="2">
        <f t="shared" si="0"/>
        <v>30.2</v>
      </c>
      <c r="M64" s="2"/>
      <c r="N64" s="19">
        <f t="shared" si="1"/>
        <v>0</v>
      </c>
      <c r="O64" s="11"/>
      <c r="P64" s="2">
        <f>--329.3</f>
        <v>329.3</v>
      </c>
      <c r="Q64" s="2"/>
      <c r="R64" s="19"/>
      <c r="S64" s="2"/>
      <c r="T64" s="2"/>
      <c r="U64" s="2"/>
      <c r="V64" s="19"/>
      <c r="W64" s="2"/>
      <c r="X64" s="2">
        <f t="shared" si="2"/>
        <v>329.3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"4147", " - ", "NON-TAXABLE SALES-MISC")</f>
        <v xml:space="preserve">          4147 - NON-TAXABLE SALES-MISC</v>
      </c>
      <c r="C65" s="11"/>
      <c r="D65" s="2">
        <f>--11</f>
        <v>11</v>
      </c>
      <c r="E65" s="2"/>
      <c r="F65" s="19"/>
      <c r="G65" s="2"/>
      <c r="H65" s="2"/>
      <c r="I65" s="2"/>
      <c r="J65" s="19"/>
      <c r="K65" s="2"/>
      <c r="L65" s="2">
        <f t="shared" si="0"/>
        <v>11</v>
      </c>
      <c r="M65" s="2"/>
      <c r="N65" s="19">
        <f t="shared" si="1"/>
        <v>0</v>
      </c>
      <c r="O65" s="11"/>
      <c r="P65" s="2">
        <f>--154.5</f>
        <v>154.5</v>
      </c>
      <c r="Q65" s="2"/>
      <c r="R65" s="19"/>
      <c r="S65" s="2"/>
      <c r="T65" s="2"/>
      <c r="U65" s="2"/>
      <c r="V65" s="19"/>
      <c r="W65" s="2"/>
      <c r="X65" s="2">
        <f t="shared" si="2"/>
        <v>154.5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"4151", " - ", "NON-TAXABLE SALES-FOOD")</f>
        <v xml:space="preserve">          4151 - NON-TAXABLE SALES-FOOD</v>
      </c>
      <c r="C66" s="11"/>
      <c r="D66" s="2">
        <f>--91787.27</f>
        <v>91787.27</v>
      </c>
      <c r="E66" s="2"/>
      <c r="F66" s="19"/>
      <c r="G66" s="2"/>
      <c r="H66" s="2"/>
      <c r="I66" s="2"/>
      <c r="J66" s="19"/>
      <c r="K66" s="2"/>
      <c r="L66" s="2">
        <f t="shared" si="0"/>
        <v>91787.27</v>
      </c>
      <c r="M66" s="2"/>
      <c r="N66" s="19">
        <f t="shared" si="1"/>
        <v>0</v>
      </c>
      <c r="O66" s="11"/>
      <c r="P66" s="2">
        <f>--924097.12</f>
        <v>924097.12</v>
      </c>
      <c r="Q66" s="2"/>
      <c r="R66" s="19"/>
      <c r="S66" s="2"/>
      <c r="T66" s="2"/>
      <c r="U66" s="2"/>
      <c r="V66" s="19"/>
      <c r="W66" s="2"/>
      <c r="X66" s="2">
        <f t="shared" si="2"/>
        <v>924097.12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"4152", " - ", "NON-TAXABLE SALES-FOOD")</f>
        <v xml:space="preserve">          4152 - NON-TAXABLE SALES-FOOD</v>
      </c>
      <c r="C67" s="11"/>
      <c r="D67" s="2">
        <f>--11580.95</f>
        <v>11580.95</v>
      </c>
      <c r="E67" s="2"/>
      <c r="F67" s="19"/>
      <c r="G67" s="2"/>
      <c r="H67" s="2"/>
      <c r="I67" s="2"/>
      <c r="J67" s="19"/>
      <c r="K67" s="2"/>
      <c r="L67" s="2">
        <f t="shared" si="0"/>
        <v>11580.95</v>
      </c>
      <c r="M67" s="2"/>
      <c r="N67" s="19">
        <f t="shared" si="1"/>
        <v>0</v>
      </c>
      <c r="O67" s="11"/>
      <c r="P67" s="2">
        <f>--11580.95</f>
        <v>11580.95</v>
      </c>
      <c r="Q67" s="2"/>
      <c r="R67" s="19"/>
      <c r="S67" s="2"/>
      <c r="T67" s="2"/>
      <c r="U67" s="2"/>
      <c r="V67" s="19"/>
      <c r="W67" s="2"/>
      <c r="X67" s="2">
        <f t="shared" si="2"/>
        <v>11580.95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"4153", " - ", "NON-TAXABLE SALES-FOOD")</f>
        <v xml:space="preserve">          4153 - NON-TAXABLE SALES-FOOD</v>
      </c>
      <c r="C68" s="11"/>
      <c r="D68" s="2">
        <f>--4488.82</f>
        <v>4488.82</v>
      </c>
      <c r="E68" s="2"/>
      <c r="F68" s="19"/>
      <c r="G68" s="2"/>
      <c r="H68" s="2"/>
      <c r="I68" s="2"/>
      <c r="J68" s="19"/>
      <c r="K68" s="2"/>
      <c r="L68" s="2">
        <f t="shared" si="0"/>
        <v>4488.82</v>
      </c>
      <c r="M68" s="2"/>
      <c r="N68" s="19">
        <f t="shared" si="1"/>
        <v>0</v>
      </c>
      <c r="O68" s="11"/>
      <c r="P68" s="2">
        <f>--47838.73</f>
        <v>47838.73</v>
      </c>
      <c r="Q68" s="2"/>
      <c r="R68" s="19"/>
      <c r="S68" s="2"/>
      <c r="T68" s="2"/>
      <c r="U68" s="2"/>
      <c r="V68" s="19"/>
      <c r="W68" s="2"/>
      <c r="X68" s="2">
        <f t="shared" si="2"/>
        <v>47838.73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"4181", " - ", "NON-TAXABLE SALES-ELECTRONICS")</f>
        <v xml:space="preserve">          4181 - NON-TAXABLE SALES-ELECTRONICS</v>
      </c>
      <c r="C69" s="11"/>
      <c r="D69" s="2">
        <f>--29.99</f>
        <v>29.99</v>
      </c>
      <c r="E69" s="2"/>
      <c r="F69" s="19"/>
      <c r="G69" s="2"/>
      <c r="H69" s="2"/>
      <c r="I69" s="2"/>
      <c r="J69" s="19"/>
      <c r="K69" s="2"/>
      <c r="L69" s="2">
        <f t="shared" si="0"/>
        <v>29.99</v>
      </c>
      <c r="M69" s="2"/>
      <c r="N69" s="19">
        <f t="shared" si="1"/>
        <v>0</v>
      </c>
      <c r="O69" s="11"/>
      <c r="P69" s="2">
        <f>--12508.62</f>
        <v>12508.62</v>
      </c>
      <c r="Q69" s="2"/>
      <c r="R69" s="19"/>
      <c r="S69" s="2"/>
      <c r="T69" s="2"/>
      <c r="U69" s="2"/>
      <c r="V69" s="19"/>
      <c r="W69" s="2"/>
      <c r="X69" s="2">
        <f t="shared" si="2"/>
        <v>12508.62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"4182", " - ", "NON-TAXABLE SALES-COMPUTER HAR")</f>
        <v xml:space="preserve">          4182 - NON-TAXABLE SALES-COMPUTER HAR</v>
      </c>
      <c r="C70" s="11"/>
      <c r="D70" s="2">
        <f>--61075.64</f>
        <v>61075.64</v>
      </c>
      <c r="E70" s="2"/>
      <c r="F70" s="19"/>
      <c r="G70" s="2"/>
      <c r="H70" s="2"/>
      <c r="I70" s="2"/>
      <c r="J70" s="19"/>
      <c r="K70" s="2"/>
      <c r="L70" s="2">
        <f t="shared" si="0"/>
        <v>61075.64</v>
      </c>
      <c r="M70" s="2"/>
      <c r="N70" s="19">
        <f t="shared" si="1"/>
        <v>0</v>
      </c>
      <c r="O70" s="11"/>
      <c r="P70" s="2">
        <f>--314490.47</f>
        <v>314490.46999999997</v>
      </c>
      <c r="Q70" s="2"/>
      <c r="R70" s="19"/>
      <c r="S70" s="2"/>
      <c r="T70" s="2"/>
      <c r="U70" s="2"/>
      <c r="V70" s="19"/>
      <c r="W70" s="2"/>
      <c r="X70" s="2">
        <f t="shared" si="2"/>
        <v>314490.46999999997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"4183", " - ", "NON-TAXABLE SALES-COMPUTER EQU")</f>
        <v xml:space="preserve">          4183 - NON-TAXABLE SALES-COMPUTER EQU</v>
      </c>
      <c r="C71" s="11"/>
      <c r="D71" s="2">
        <f>--2879.59</f>
        <v>2879.59</v>
      </c>
      <c r="E71" s="2"/>
      <c r="F71" s="19"/>
      <c r="G71" s="2"/>
      <c r="H71" s="2"/>
      <c r="I71" s="2"/>
      <c r="J71" s="19"/>
      <c r="K71" s="2"/>
      <c r="L71" s="2">
        <f t="shared" si="0"/>
        <v>2879.59</v>
      </c>
      <c r="M71" s="2"/>
      <c r="N71" s="19">
        <f t="shared" si="1"/>
        <v>0</v>
      </c>
      <c r="O71" s="11"/>
      <c r="P71" s="2">
        <f>--19486.02</f>
        <v>19486.02</v>
      </c>
      <c r="Q71" s="2"/>
      <c r="R71" s="19"/>
      <c r="S71" s="2"/>
      <c r="T71" s="2"/>
      <c r="U71" s="2"/>
      <c r="V71" s="19"/>
      <c r="W71" s="2"/>
      <c r="X71" s="2">
        <f t="shared" si="2"/>
        <v>19486.02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"4185", " - ", "NON-TAXABLE SALES-SOFTWARE")</f>
        <v xml:space="preserve">          4185 - NON-TAXABLE SALES-SOFTWARE</v>
      </c>
      <c r="C72" s="11"/>
      <c r="D72" s="2">
        <f>--11345.61</f>
        <v>11345.61</v>
      </c>
      <c r="E72" s="2"/>
      <c r="F72" s="19"/>
      <c r="G72" s="2"/>
      <c r="H72" s="2"/>
      <c r="I72" s="2"/>
      <c r="J72" s="19"/>
      <c r="K72" s="2"/>
      <c r="L72" s="2">
        <f t="shared" si="0"/>
        <v>11345.61</v>
      </c>
      <c r="M72" s="2"/>
      <c r="N72" s="19">
        <f t="shared" si="1"/>
        <v>0</v>
      </c>
      <c r="O72" s="11"/>
      <c r="P72" s="2">
        <f>--50032.39</f>
        <v>50032.39</v>
      </c>
      <c r="Q72" s="2"/>
      <c r="R72" s="19"/>
      <c r="S72" s="2"/>
      <c r="T72" s="2"/>
      <c r="U72" s="2"/>
      <c r="V72" s="19"/>
      <c r="W72" s="2"/>
      <c r="X72" s="2">
        <f t="shared" si="2"/>
        <v>50032.39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--89.97</f>
        <v>89.97</v>
      </c>
      <c r="E73" s="2"/>
      <c r="F73" s="19"/>
      <c r="G73" s="2"/>
      <c r="H73" s="2"/>
      <c r="I73" s="2"/>
      <c r="J73" s="19"/>
      <c r="K73" s="2"/>
      <c r="L73" s="2">
        <f t="shared" si="0"/>
        <v>89.97</v>
      </c>
      <c r="M73" s="2"/>
      <c r="N73" s="19">
        <f t="shared" si="1"/>
        <v>0</v>
      </c>
      <c r="O73" s="11"/>
      <c r="P73" s="2">
        <f>--3345.17</f>
        <v>3345.17</v>
      </c>
      <c r="Q73" s="2"/>
      <c r="R73" s="19"/>
      <c r="S73" s="2"/>
      <c r="T73" s="2"/>
      <c r="U73" s="2"/>
      <c r="V73" s="19"/>
      <c r="W73" s="2"/>
      <c r="X73" s="2">
        <f t="shared" si="2"/>
        <v>3345.17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-376.85</f>
        <v>-376.85</v>
      </c>
      <c r="E74" s="2"/>
      <c r="F74" s="19"/>
      <c r="G74" s="2"/>
      <c r="H74" s="2"/>
      <c r="I74" s="2"/>
      <c r="J74" s="19"/>
      <c r="K74" s="2"/>
      <c r="L74" s="2">
        <f t="shared" si="0"/>
        <v>-376.85</v>
      </c>
      <c r="M74" s="2"/>
      <c r="N74" s="19">
        <f t="shared" si="1"/>
        <v>0</v>
      </c>
      <c r="O74" s="11"/>
      <c r="P74" s="2">
        <f>-51638.02</f>
        <v>-51638.02</v>
      </c>
      <c r="Q74" s="2"/>
      <c r="R74" s="19"/>
      <c r="S74" s="2"/>
      <c r="T74" s="2"/>
      <c r="U74" s="2"/>
      <c r="V74" s="19"/>
      <c r="W74" s="2"/>
      <c r="X74" s="2">
        <f t="shared" si="2"/>
        <v>-51638.02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-206.95</f>
        <v>-206.95</v>
      </c>
      <c r="E75" s="2"/>
      <c r="F75" s="19"/>
      <c r="G75" s="2"/>
      <c r="H75" s="2"/>
      <c r="I75" s="2"/>
      <c r="J75" s="19"/>
      <c r="K75" s="2"/>
      <c r="L75" s="2">
        <f t="shared" si="0"/>
        <v>-206.95</v>
      </c>
      <c r="M75" s="2"/>
      <c r="N75" s="19">
        <f t="shared" si="1"/>
        <v>0</v>
      </c>
      <c r="O75" s="11"/>
      <c r="P75" s="2">
        <f>-20096.26</f>
        <v>-20096.259999999998</v>
      </c>
      <c r="Q75" s="2"/>
      <c r="R75" s="19"/>
      <c r="S75" s="2"/>
      <c r="T75" s="2"/>
      <c r="U75" s="2"/>
      <c r="V75" s="19"/>
      <c r="W75" s="2"/>
      <c r="X75" s="2">
        <f t="shared" si="2"/>
        <v>-20096.259999999998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 t="shared" ref="D76:D79" si="7"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-1763.1</f>
        <v>-1763.1</v>
      </c>
      <c r="Q76" s="2"/>
      <c r="R76" s="19"/>
      <c r="S76" s="2"/>
      <c r="T76" s="2"/>
      <c r="U76" s="2"/>
      <c r="V76" s="19"/>
      <c r="W76" s="2"/>
      <c r="X76" s="2">
        <f t="shared" si="2"/>
        <v>-1763.1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"4213", " - ", "NON-TAXABLE SALES-TRADE BOOKS")</f>
        <v xml:space="preserve">          4213 - NON-TAXABLE SALES-TRADE BOOKS</v>
      </c>
      <c r="C77" s="11"/>
      <c r="D77" s="2">
        <f t="shared" si="7"/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-69.93</f>
        <v>-69.930000000000007</v>
      </c>
      <c r="Q77" s="2"/>
      <c r="R77" s="19"/>
      <c r="S77" s="2"/>
      <c r="T77" s="2"/>
      <c r="U77" s="2"/>
      <c r="V77" s="19"/>
      <c r="W77" s="2"/>
      <c r="X77" s="2">
        <f t="shared" si="2"/>
        <v>-69.930000000000007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 t="shared" si="7"/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-5.21</f>
        <v>-5.21</v>
      </c>
      <c r="Q78" s="2"/>
      <c r="R78" s="19"/>
      <c r="S78" s="2"/>
      <c r="T78" s="2"/>
      <c r="U78" s="2"/>
      <c r="V78" s="19"/>
      <c r="W78" s="2"/>
      <c r="X78" s="2">
        <f t="shared" si="2"/>
        <v>-5.21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"4226", " - ", "SALES RETURN TAXABLE-WRITING I")</f>
        <v xml:space="preserve">          4226 - SALES RETURN TAXABLE-WRITING I</v>
      </c>
      <c r="C79" s="11"/>
      <c r="D79" s="2">
        <f t="shared" si="7"/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-34.23</f>
        <v>-34.229999999999997</v>
      </c>
      <c r="Q79" s="2"/>
      <c r="R79" s="19"/>
      <c r="S79" s="2"/>
      <c r="T79" s="2"/>
      <c r="U79" s="2"/>
      <c r="V79" s="19"/>
      <c r="W79" s="2"/>
      <c r="X79" s="2">
        <f t="shared" si="2"/>
        <v>-34.229999999999997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"4227", " - ", "SALES RETURN TAXABLE-SCHOOL SU")</f>
        <v xml:space="preserve">          4227 - SALES RETURN TAXABLE-SCHOOL SU</v>
      </c>
      <c r="C80" s="11"/>
      <c r="D80" s="2">
        <f>-500.54</f>
        <v>-500.54</v>
      </c>
      <c r="E80" s="2"/>
      <c r="F80" s="19"/>
      <c r="G80" s="2"/>
      <c r="H80" s="2"/>
      <c r="I80" s="2"/>
      <c r="J80" s="19"/>
      <c r="K80" s="2"/>
      <c r="L80" s="2">
        <f t="shared" si="0"/>
        <v>-500.54</v>
      </c>
      <c r="M80" s="2"/>
      <c r="N80" s="19">
        <f t="shared" si="1"/>
        <v>0</v>
      </c>
      <c r="O80" s="11"/>
      <c r="P80" s="2">
        <f>-1346.66</f>
        <v>-1346.66</v>
      </c>
      <c r="Q80" s="2"/>
      <c r="R80" s="19"/>
      <c r="S80" s="2"/>
      <c r="T80" s="2"/>
      <c r="U80" s="2"/>
      <c r="V80" s="19"/>
      <c r="W80" s="2"/>
      <c r="X80" s="2">
        <f t="shared" si="2"/>
        <v>-1346.66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"4228", " - ", "SALES RETURN TAXABLE-ART/TECH")</f>
        <v xml:space="preserve">          4228 - SALES RETURN TAXABLE-ART/TECH</v>
      </c>
      <c r="C81" s="11"/>
      <c r="D81" s="2">
        <f>-136.11</f>
        <v>-136.11000000000001</v>
      </c>
      <c r="E81" s="2"/>
      <c r="F81" s="19"/>
      <c r="G81" s="2"/>
      <c r="H81" s="2"/>
      <c r="I81" s="2"/>
      <c r="J81" s="19"/>
      <c r="K81" s="2"/>
      <c r="L81" s="2">
        <f t="shared" si="0"/>
        <v>-136.11000000000001</v>
      </c>
      <c r="M81" s="2"/>
      <c r="N81" s="19">
        <f t="shared" si="1"/>
        <v>0</v>
      </c>
      <c r="O81" s="11"/>
      <c r="P81" s="2">
        <f>-12973.73</f>
        <v>-12973.73</v>
      </c>
      <c r="Q81" s="2"/>
      <c r="R81" s="19"/>
      <c r="S81" s="2"/>
      <c r="T81" s="2"/>
      <c r="U81" s="2"/>
      <c r="V81" s="19"/>
      <c r="W81" s="2"/>
      <c r="X81" s="2">
        <f t="shared" si="2"/>
        <v>-12973.73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"4240", " - ", "SALES RETURN TAXABLE-LOGO CLOT")</f>
        <v xml:space="preserve">          4240 - SALES RETURN TAXABLE-LOGO CLOT</v>
      </c>
      <c r="C82" s="11"/>
      <c r="D82" s="2">
        <f>-5611.92</f>
        <v>-5611.92</v>
      </c>
      <c r="E82" s="2"/>
      <c r="F82" s="19"/>
      <c r="G82" s="2"/>
      <c r="H82" s="2"/>
      <c r="I82" s="2"/>
      <c r="J82" s="19"/>
      <c r="K82" s="2"/>
      <c r="L82" s="2">
        <f t="shared" si="0"/>
        <v>-5611.92</v>
      </c>
      <c r="M82" s="2"/>
      <c r="N82" s="19">
        <f t="shared" si="1"/>
        <v>0</v>
      </c>
      <c r="O82" s="11"/>
      <c r="P82" s="2">
        <f>-40666.27</f>
        <v>-40666.269999999997</v>
      </c>
      <c r="Q82" s="2"/>
      <c r="R82" s="19"/>
      <c r="S82" s="2"/>
      <c r="T82" s="2"/>
      <c r="U82" s="2"/>
      <c r="V82" s="19"/>
      <c r="W82" s="2"/>
      <c r="X82" s="2">
        <f t="shared" si="2"/>
        <v>-40666.269999999997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"4241", " - ", "SALES RETURN TAXABLE-LOGO GIFT")</f>
        <v xml:space="preserve">          4241 - SALES RETURN TAXABLE-LOGO GIFT</v>
      </c>
      <c r="C83" s="11"/>
      <c r="D83" s="2">
        <f>-5656.91</f>
        <v>-5656.91</v>
      </c>
      <c r="E83" s="2"/>
      <c r="F83" s="19"/>
      <c r="G83" s="2"/>
      <c r="H83" s="2"/>
      <c r="I83" s="2"/>
      <c r="J83" s="19"/>
      <c r="K83" s="2"/>
      <c r="L83" s="2">
        <f t="shared" si="0"/>
        <v>-5656.91</v>
      </c>
      <c r="M83" s="2"/>
      <c r="N83" s="19">
        <f t="shared" si="1"/>
        <v>0</v>
      </c>
      <c r="O83" s="11"/>
      <c r="P83" s="2">
        <f>-12175.25</f>
        <v>-12175.25</v>
      </c>
      <c r="Q83" s="2"/>
      <c r="R83" s="19"/>
      <c r="S83" s="2"/>
      <c r="T83" s="2"/>
      <c r="U83" s="2"/>
      <c r="V83" s="19"/>
      <c r="W83" s="2"/>
      <c r="X83" s="2">
        <f t="shared" si="2"/>
        <v>-12175.25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"4242", " - ", "SALES RETURN TAXABLE-EVERYDAY")</f>
        <v xml:space="preserve">          4242 - SALES RETURN TAXABLE-EVERYDAY</v>
      </c>
      <c r="C84" s="11"/>
      <c r="D84" s="2">
        <f>-332.27</f>
        <v>-332.27</v>
      </c>
      <c r="E84" s="2"/>
      <c r="F84" s="19"/>
      <c r="G84" s="2"/>
      <c r="H84" s="2"/>
      <c r="I84" s="2"/>
      <c r="J84" s="19"/>
      <c r="K84" s="2"/>
      <c r="L84" s="2">
        <f t="shared" si="0"/>
        <v>-332.27</v>
      </c>
      <c r="M84" s="2"/>
      <c r="N84" s="19">
        <f t="shared" si="1"/>
        <v>0</v>
      </c>
      <c r="O84" s="11"/>
      <c r="P84" s="2">
        <f>-2636.09</f>
        <v>-2636.09</v>
      </c>
      <c r="Q84" s="2"/>
      <c r="R84" s="19"/>
      <c r="S84" s="2"/>
      <c r="T84" s="2"/>
      <c r="U84" s="2"/>
      <c r="V84" s="19"/>
      <c r="W84" s="2"/>
      <c r="X84" s="2">
        <f t="shared" si="2"/>
        <v>-2636.09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"4243", " - ", "SALES RETURN TAXABLE-CARDS")</f>
        <v xml:space="preserve">          4243 - SALES RETURN TAXABLE-CARDS</v>
      </c>
      <c r="C85" s="11"/>
      <c r="D85" s="2">
        <f>-199.86</f>
        <v>-199.86</v>
      </c>
      <c r="E85" s="2"/>
      <c r="F85" s="19"/>
      <c r="G85" s="2"/>
      <c r="H85" s="2"/>
      <c r="I85" s="2"/>
      <c r="J85" s="19"/>
      <c r="K85" s="2"/>
      <c r="L85" s="2">
        <f t="shared" si="0"/>
        <v>-199.86</v>
      </c>
      <c r="M85" s="2"/>
      <c r="N85" s="19">
        <f t="shared" si="1"/>
        <v>0</v>
      </c>
      <c r="O85" s="11"/>
      <c r="P85" s="2">
        <f>-6142.09</f>
        <v>-6142.09</v>
      </c>
      <c r="Q85" s="2"/>
      <c r="R85" s="19"/>
      <c r="S85" s="2"/>
      <c r="T85" s="2"/>
      <c r="U85" s="2"/>
      <c r="V85" s="19"/>
      <c r="W85" s="2"/>
      <c r="X85" s="2">
        <f t="shared" si="2"/>
        <v>-6142.09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"4244", " - ", "SALES RETURN TAXABLE-ACCESSORI")</f>
        <v xml:space="preserve">          4244 - SALES RETURN TAXABLE-ACCESSORI</v>
      </c>
      <c r="C86" s="11"/>
      <c r="D86" s="2">
        <f>-8.24</f>
        <v>-8.24</v>
      </c>
      <c r="E86" s="2"/>
      <c r="F86" s="19"/>
      <c r="G86" s="2"/>
      <c r="H86" s="2"/>
      <c r="I86" s="2"/>
      <c r="J86" s="19"/>
      <c r="K86" s="2"/>
      <c r="L86" s="2">
        <f t="shared" si="0"/>
        <v>-8.24</v>
      </c>
      <c r="M86" s="2"/>
      <c r="N86" s="19">
        <f t="shared" si="1"/>
        <v>0</v>
      </c>
      <c r="O86" s="11"/>
      <c r="P86" s="2">
        <f>-1243.5</f>
        <v>-1243.5</v>
      </c>
      <c r="Q86" s="2"/>
      <c r="R86" s="19"/>
      <c r="S86" s="2"/>
      <c r="T86" s="2"/>
      <c r="U86" s="2"/>
      <c r="V86" s="19"/>
      <c r="W86" s="2"/>
      <c r="X86" s="2">
        <f t="shared" si="2"/>
        <v>-1243.5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"4245", " - ", "SALES RETURN TAXABLE-SPECIAL O")</f>
        <v xml:space="preserve">          4245 - SALES RETURN TAXABLE-SPECIAL O</v>
      </c>
      <c r="C87" s="11"/>
      <c r="D87" s="2">
        <f>-4071.14</f>
        <v>-4071.14</v>
      </c>
      <c r="E87" s="2"/>
      <c r="F87" s="19"/>
      <c r="G87" s="2"/>
      <c r="H87" s="2"/>
      <c r="I87" s="2"/>
      <c r="J87" s="19"/>
      <c r="K87" s="2"/>
      <c r="L87" s="2">
        <f t="shared" si="0"/>
        <v>-4071.14</v>
      </c>
      <c r="M87" s="2"/>
      <c r="N87" s="19">
        <f t="shared" si="1"/>
        <v>0</v>
      </c>
      <c r="O87" s="11"/>
      <c r="P87" s="2">
        <f>-15424.73</f>
        <v>-15424.73</v>
      </c>
      <c r="Q87" s="2"/>
      <c r="R87" s="19"/>
      <c r="S87" s="2"/>
      <c r="T87" s="2"/>
      <c r="U87" s="2"/>
      <c r="V87" s="19"/>
      <c r="W87" s="2"/>
      <c r="X87" s="2">
        <f t="shared" si="2"/>
        <v>-15424.73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"4281", " - ", "SALES RETURN TAXABLE-ELECTRONI")</f>
        <v xml:space="preserve">          4281 - SALES RETURN TAXABLE-ELECTRONI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-14762.14</f>
        <v>-14762.14</v>
      </c>
      <c r="Q88" s="2"/>
      <c r="R88" s="19"/>
      <c r="S88" s="2"/>
      <c r="T88" s="2"/>
      <c r="U88" s="2"/>
      <c r="V88" s="19"/>
      <c r="W88" s="2"/>
      <c r="X88" s="2">
        <f t="shared" si="2"/>
        <v>-14762.14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"4282", " - ", "SALES RETURN TAXABLE-COMPUTER")</f>
        <v xml:space="preserve">          4282 - SALES RETURN TAXABLE-COMPUTER</v>
      </c>
      <c r="C89" s="11"/>
      <c r="D89" s="2">
        <f>-42380</f>
        <v>-42380</v>
      </c>
      <c r="E89" s="2"/>
      <c r="F89" s="19"/>
      <c r="G89" s="2"/>
      <c r="H89" s="2"/>
      <c r="I89" s="2"/>
      <c r="J89" s="19"/>
      <c r="K89" s="2"/>
      <c r="L89" s="2">
        <f t="shared" si="0"/>
        <v>-42380</v>
      </c>
      <c r="M89" s="2"/>
      <c r="N89" s="19">
        <f t="shared" si="1"/>
        <v>0</v>
      </c>
      <c r="O89" s="11"/>
      <c r="P89" s="2">
        <f>-215145.16</f>
        <v>-215145.16</v>
      </c>
      <c r="Q89" s="2"/>
      <c r="R89" s="19"/>
      <c r="S89" s="2"/>
      <c r="T89" s="2"/>
      <c r="U89" s="2"/>
      <c r="V89" s="19"/>
      <c r="W89" s="2"/>
      <c r="X89" s="2">
        <f t="shared" si="2"/>
        <v>-215145.16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"4283", " - ", "SALES RETURN TAXABLE-COMPUTER")</f>
        <v xml:space="preserve">          4283 - SALES RETURN TAXABLE-COMPUTER</v>
      </c>
      <c r="C90" s="11"/>
      <c r="D90" s="2">
        <f>-197.95</f>
        <v>-197.95</v>
      </c>
      <c r="E90" s="2"/>
      <c r="F90" s="19"/>
      <c r="G90" s="2"/>
      <c r="H90" s="2"/>
      <c r="I90" s="2"/>
      <c r="J90" s="19"/>
      <c r="K90" s="2"/>
      <c r="L90" s="2">
        <f t="shared" si="0"/>
        <v>-197.95</v>
      </c>
      <c r="M90" s="2"/>
      <c r="N90" s="19">
        <f t="shared" si="1"/>
        <v>0</v>
      </c>
      <c r="O90" s="11"/>
      <c r="P90" s="2">
        <f>-3947.2</f>
        <v>-3947.2</v>
      </c>
      <c r="Q90" s="2"/>
      <c r="R90" s="19"/>
      <c r="S90" s="2"/>
      <c r="T90" s="2"/>
      <c r="U90" s="2"/>
      <c r="V90" s="19"/>
      <c r="W90" s="2"/>
      <c r="X90" s="2">
        <f t="shared" si="2"/>
        <v>-3947.2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"4285", " - ", "SALES RETURN TAXABLE-SOFTWARE")</f>
        <v xml:space="preserve">          4285 - SALES RETURN TAXABLE-SOFTWARE</v>
      </c>
      <c r="C91" s="11"/>
      <c r="D91" s="2">
        <f>-99.83</f>
        <v>-99.83</v>
      </c>
      <c r="E91" s="2"/>
      <c r="F91" s="19"/>
      <c r="G91" s="2"/>
      <c r="H91" s="2"/>
      <c r="I91" s="2"/>
      <c r="J91" s="19"/>
      <c r="K91" s="2"/>
      <c r="L91" s="2">
        <f t="shared" si="0"/>
        <v>-99.83</v>
      </c>
      <c r="M91" s="2"/>
      <c r="N91" s="19">
        <f t="shared" si="1"/>
        <v>0</v>
      </c>
      <c r="O91" s="11"/>
      <c r="P91" s="2">
        <f>-1091.79</f>
        <v>-1091.79</v>
      </c>
      <c r="Q91" s="2"/>
      <c r="R91" s="19"/>
      <c r="S91" s="2"/>
      <c r="T91" s="2"/>
      <c r="U91" s="2"/>
      <c r="V91" s="19"/>
      <c r="W91" s="2"/>
      <c r="X91" s="2">
        <f t="shared" si="2"/>
        <v>-1091.79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"4286", " - ", "SALES RETURN TAXABLE-COMPUTER")</f>
        <v xml:space="preserve">          4286 - SALES RETURN TAXABLE-COMPUTER</v>
      </c>
      <c r="C92" s="11"/>
      <c r="D92" s="2">
        <f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-4802.29</f>
        <v>-4802.29</v>
      </c>
      <c r="Q92" s="2"/>
      <c r="R92" s="19"/>
      <c r="S92" s="2"/>
      <c r="T92" s="2"/>
      <c r="U92" s="2"/>
      <c r="V92" s="19"/>
      <c r="W92" s="2"/>
      <c r="X92" s="2">
        <f t="shared" si="2"/>
        <v>-4802.29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"4301", " - ", "SALES RETURN NON TAXABLE-NEW T")</f>
        <v xml:space="preserve">          4301 - SALES RETURN NON TAXABLE-NEW T</v>
      </c>
      <c r="C93" s="11"/>
      <c r="D93" s="2">
        <f>-225.91</f>
        <v>-225.91</v>
      </c>
      <c r="E93" s="2"/>
      <c r="F93" s="19"/>
      <c r="G93" s="2"/>
      <c r="H93" s="2"/>
      <c r="I93" s="2"/>
      <c r="J93" s="19"/>
      <c r="K93" s="2"/>
      <c r="L93" s="2">
        <f t="shared" si="0"/>
        <v>-225.91</v>
      </c>
      <c r="M93" s="2"/>
      <c r="N93" s="19">
        <f t="shared" si="1"/>
        <v>0</v>
      </c>
      <c r="O93" s="11"/>
      <c r="P93" s="2">
        <f>-3463.2</f>
        <v>-3463.2</v>
      </c>
      <c r="Q93" s="2"/>
      <c r="R93" s="19"/>
      <c r="S93" s="2"/>
      <c r="T93" s="2"/>
      <c r="U93" s="2"/>
      <c r="V93" s="19"/>
      <c r="W93" s="2"/>
      <c r="X93" s="2">
        <f t="shared" si="2"/>
        <v>-3463.2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"4302", " - ", "SALES RETURN NON TAXABLE-TEXT")</f>
        <v xml:space="preserve">          4302 - SALES RETURN NON TAXABLE-TEXT</v>
      </c>
      <c r="C94" s="11"/>
      <c r="D94" s="2">
        <f>-98.97</f>
        <v>-98.97</v>
      </c>
      <c r="E94" s="2"/>
      <c r="F94" s="19"/>
      <c r="G94" s="2"/>
      <c r="H94" s="2"/>
      <c r="I94" s="2"/>
      <c r="J94" s="19"/>
      <c r="K94" s="2"/>
      <c r="L94" s="2">
        <f t="shared" si="0"/>
        <v>-98.97</v>
      </c>
      <c r="M94" s="2"/>
      <c r="N94" s="19">
        <f t="shared" si="1"/>
        <v>0</v>
      </c>
      <c r="O94" s="11"/>
      <c r="P94" s="2">
        <f>-2443.32</f>
        <v>-2443.3200000000002</v>
      </c>
      <c r="Q94" s="2"/>
      <c r="R94" s="19"/>
      <c r="S94" s="2"/>
      <c r="T94" s="2"/>
      <c r="U94" s="2"/>
      <c r="V94" s="19"/>
      <c r="W94" s="2"/>
      <c r="X94" s="2">
        <f t="shared" si="2"/>
        <v>-2443.3200000000002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"4304", " - ", "SALES RETURN NON TAXABLE-DIGIT")</f>
        <v xml:space="preserve">          4304 - SALES RETURN NON TAXABLE-DIGIT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-27543.76</f>
        <v>-27543.759999999998</v>
      </c>
      <c r="Q95" s="2"/>
      <c r="R95" s="19"/>
      <c r="S95" s="2"/>
      <c r="T95" s="2"/>
      <c r="U95" s="2"/>
      <c r="V95" s="19"/>
      <c r="W95" s="2"/>
      <c r="X95" s="2">
        <f t="shared" si="2"/>
        <v>-27543.759999999998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"4340", " - ", "SALES RETURN NON TAXABLE-LOGO")</f>
        <v xml:space="preserve">          4340 - SALES RETURN NON TAXABLE-LOGO</v>
      </c>
      <c r="C96" s="11"/>
      <c r="D96" s="2">
        <f>-664.13</f>
        <v>-664.13</v>
      </c>
      <c r="E96" s="2"/>
      <c r="F96" s="19"/>
      <c r="G96" s="2"/>
      <c r="H96" s="2"/>
      <c r="I96" s="2"/>
      <c r="J96" s="19"/>
      <c r="K96" s="2"/>
      <c r="L96" s="2">
        <f t="shared" si="0"/>
        <v>-664.13</v>
      </c>
      <c r="M96" s="2"/>
      <c r="N96" s="19">
        <f t="shared" si="1"/>
        <v>0</v>
      </c>
      <c r="O96" s="11"/>
      <c r="P96" s="2">
        <f>-3307.52</f>
        <v>-3307.52</v>
      </c>
      <c r="Q96" s="2"/>
      <c r="R96" s="19"/>
      <c r="S96" s="2"/>
      <c r="T96" s="2"/>
      <c r="U96" s="2"/>
      <c r="V96" s="19"/>
      <c r="W96" s="2"/>
      <c r="X96" s="2">
        <f t="shared" si="2"/>
        <v>-3307.52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"4341", " - ", "SALES RETURN NON TAXABLE-LOGO")</f>
        <v xml:space="preserve">          4341 - SALES RETURN NON TAXABLE-LOGO</v>
      </c>
      <c r="C97" s="11"/>
      <c r="D97" s="2">
        <f>-9.9</f>
        <v>-9.9</v>
      </c>
      <c r="E97" s="2"/>
      <c r="F97" s="19"/>
      <c r="G97" s="2"/>
      <c r="H97" s="2"/>
      <c r="I97" s="2"/>
      <c r="J97" s="19"/>
      <c r="K97" s="2"/>
      <c r="L97" s="2">
        <f t="shared" si="0"/>
        <v>-9.9</v>
      </c>
      <c r="M97" s="2"/>
      <c r="N97" s="19">
        <f t="shared" si="1"/>
        <v>0</v>
      </c>
      <c r="O97" s="11"/>
      <c r="P97" s="2">
        <f>-402.44</f>
        <v>-402.44</v>
      </c>
      <c r="Q97" s="2"/>
      <c r="R97" s="19"/>
      <c r="S97" s="2"/>
      <c r="T97" s="2"/>
      <c r="U97" s="2"/>
      <c r="V97" s="19"/>
      <c r="W97" s="2"/>
      <c r="X97" s="2">
        <f t="shared" si="2"/>
        <v>-402.44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"4342", " - ", "SALES RETURN NON TAXABLE-EVERY")</f>
        <v xml:space="preserve">          4342 - SALES RETURN NON TAXABLE-EVERY</v>
      </c>
      <c r="C98" s="11"/>
      <c r="D98" s="2">
        <f t="shared" ref="D98:D99" si="8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-118.7</f>
        <v>-118.7</v>
      </c>
      <c r="Q98" s="2"/>
      <c r="R98" s="19"/>
      <c r="S98" s="2"/>
      <c r="T98" s="2"/>
      <c r="U98" s="2"/>
      <c r="V98" s="19"/>
      <c r="W98" s="2"/>
      <c r="X98" s="2">
        <f t="shared" si="2"/>
        <v>-118.7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"4381", " - ", "SALES RETURN NON TAXABLE-ELECT")</f>
        <v xml:space="preserve">          4381 - SALES RETURN NON TAXABLE-ELECT</v>
      </c>
      <c r="C99" s="11"/>
      <c r="D99" s="2">
        <f t="shared" si="8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-5624.15</f>
        <v>-5624.15</v>
      </c>
      <c r="Q99" s="2"/>
      <c r="R99" s="19"/>
      <c r="S99" s="2"/>
      <c r="T99" s="2"/>
      <c r="U99" s="2"/>
      <c r="V99" s="19"/>
      <c r="W99" s="2"/>
      <c r="X99" s="2">
        <f t="shared" si="2"/>
        <v>-5624.15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"4383", " - ", "SALES RETURN NON TAXABLE-COMPU")</f>
        <v xml:space="preserve">          4383 - SALES RETURN NON TAXABLE-COMPU</v>
      </c>
      <c r="C100" s="11"/>
      <c r="D100" s="2">
        <f>-14.99</f>
        <v>-14.99</v>
      </c>
      <c r="E100" s="2"/>
      <c r="F100" s="19"/>
      <c r="G100" s="2"/>
      <c r="H100" s="2"/>
      <c r="I100" s="2"/>
      <c r="J100" s="19"/>
      <c r="K100" s="2"/>
      <c r="L100" s="2">
        <f t="shared" si="0"/>
        <v>-14.99</v>
      </c>
      <c r="M100" s="2"/>
      <c r="N100" s="19">
        <f t="shared" si="1"/>
        <v>0</v>
      </c>
      <c r="O100" s="11"/>
      <c r="P100" s="2">
        <f>-14.99</f>
        <v>-14.99</v>
      </c>
      <c r="Q100" s="2"/>
      <c r="R100" s="19"/>
      <c r="S100" s="2"/>
      <c r="T100" s="2"/>
      <c r="U100" s="2"/>
      <c r="V100" s="19"/>
      <c r="W100" s="2"/>
      <c r="X100" s="2">
        <f t="shared" si="2"/>
        <v>-14.99</v>
      </c>
      <c r="Y100" s="2"/>
      <c r="Z100" s="19">
        <f t="shared" si="3"/>
        <v>0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collapsed="1" x14ac:dyDescent="0.25">
      <c r="A102" s="10"/>
      <c r="B102" s="29" t="s">
        <v>257</v>
      </c>
      <c r="C102" s="10"/>
      <c r="D102" s="4">
        <f>SUM(OSRRefD16x_0)</f>
        <v>643578.63</v>
      </c>
      <c r="E102" s="4"/>
      <c r="F102" s="12">
        <f t="shared" ref="F102:F152" si="9">IF(D$12=0,0,D102/D$12)</f>
        <v>0.61961636136116982</v>
      </c>
      <c r="G102" s="4"/>
      <c r="H102" s="4">
        <f>SUM(OSRRefH16x_0)</f>
        <v>665472</v>
      </c>
      <c r="I102" s="4"/>
      <c r="J102" s="12">
        <f t="shared" ref="J102:J152" si="10">IF(H$12=0,0,H102/H$12)</f>
        <v>0.47701658195174296</v>
      </c>
      <c r="K102" s="4"/>
      <c r="L102" s="4">
        <f t="shared" ref="L102:L152" si="11">+D102-H102</f>
        <v>-21893.369999999995</v>
      </c>
      <c r="M102" s="4"/>
      <c r="N102" s="12">
        <f t="shared" ref="N102:N152" si="12">IF(H102=0,0,L102/H102)</f>
        <v>-3.2899010025966527E-2</v>
      </c>
      <c r="O102" s="10"/>
      <c r="P102" s="4">
        <f>SUM(OSRRefP16x_0)</f>
        <v>5635922.9100000001</v>
      </c>
      <c r="Q102" s="4"/>
      <c r="R102" s="12">
        <f t="shared" ref="R102:R152" si="13">IF(P$12=0,0,P102/P$12)</f>
        <v>0.62594759764028962</v>
      </c>
      <c r="S102" s="4"/>
      <c r="T102" s="4">
        <f>SUM(OSRRefT16x_0)</f>
        <v>7804819</v>
      </c>
      <c r="U102" s="4"/>
      <c r="V102" s="12">
        <f t="shared" ref="V102:V152" si="14">IF(T$12=0,0,T102/T$12)</f>
        <v>0.51242342112314132</v>
      </c>
      <c r="W102" s="4"/>
      <c r="X102" s="4">
        <f t="shared" ref="X102:X152" si="15">+P102-T102</f>
        <v>-2168896.09</v>
      </c>
      <c r="Y102" s="4"/>
      <c r="Z102" s="12">
        <f t="shared" ref="Z102:Z152" si="16">IF(T102=0,0,X102/T102)</f>
        <v>-0.27789191395726154</v>
      </c>
    </row>
    <row r="103" spans="1:26" s="24" customFormat="1" hidden="1" outlineLevel="1" x14ac:dyDescent="0.25">
      <c r="A103" s="44"/>
      <c r="B103" s="11" t="str">
        <f>CONCATENATE("          ", "5000", " - ", "PURCHASES @ COST")</f>
        <v xml:space="preserve">          5000 - PURCHASES @ COST</v>
      </c>
      <c r="C103" s="11"/>
      <c r="D103" s="2"/>
      <c r="E103" s="2"/>
      <c r="F103" s="19">
        <f t="shared" si="9"/>
        <v>0</v>
      </c>
      <c r="G103" s="2"/>
      <c r="H103" s="2">
        <v>665472</v>
      </c>
      <c r="I103" s="2"/>
      <c r="J103" s="19">
        <f t="shared" si="10"/>
        <v>0.47701658195174296</v>
      </c>
      <c r="K103" s="2"/>
      <c r="L103" s="2">
        <f t="shared" si="11"/>
        <v>-665472</v>
      </c>
      <c r="M103" s="2"/>
      <c r="N103" s="19">
        <f t="shared" si="12"/>
        <v>-1</v>
      </c>
      <c r="O103" s="11"/>
      <c r="P103" s="2">
        <v>0</v>
      </c>
      <c r="Q103" s="2"/>
      <c r="R103" s="19">
        <f t="shared" si="13"/>
        <v>0</v>
      </c>
      <c r="S103" s="2"/>
      <c r="T103" s="2">
        <v>7804819</v>
      </c>
      <c r="U103" s="2"/>
      <c r="V103" s="19">
        <f t="shared" si="14"/>
        <v>0.51242342112314132</v>
      </c>
      <c r="W103" s="2"/>
      <c r="X103" s="2">
        <f t="shared" si="15"/>
        <v>-7804819</v>
      </c>
      <c r="Y103" s="2"/>
      <c r="Z103" s="19">
        <f t="shared" si="16"/>
        <v>-1</v>
      </c>
    </row>
    <row r="104" spans="1:26" s="24" customFormat="1" hidden="1" outlineLevel="1" x14ac:dyDescent="0.25">
      <c r="A104" s="44"/>
      <c r="B104" s="11" t="str">
        <f>CONCATENATE("          ", "5001", " - ", "PURCHASES @ COST-NEW TEXT")</f>
        <v xml:space="preserve">          5001 - PURCHASES @ COST-NEW TEXT</v>
      </c>
      <c r="C104" s="11"/>
      <c r="D104" s="2">
        <v>-28969.93</v>
      </c>
      <c r="E104" s="2"/>
      <c r="F104" s="19">
        <f t="shared" si="9"/>
        <v>-2.7891296849753687E-2</v>
      </c>
      <c r="G104" s="2"/>
      <c r="H104" s="2"/>
      <c r="I104" s="2"/>
      <c r="J104" s="19">
        <f t="shared" si="10"/>
        <v>0</v>
      </c>
      <c r="K104" s="2"/>
      <c r="L104" s="2">
        <f t="shared" si="11"/>
        <v>-28969.93</v>
      </c>
      <c r="M104" s="2"/>
      <c r="N104" s="19">
        <f t="shared" si="12"/>
        <v>0</v>
      </c>
      <c r="O104" s="11"/>
      <c r="P104" s="2">
        <v>1006546.47</v>
      </c>
      <c r="Q104" s="2"/>
      <c r="R104" s="19">
        <f t="shared" si="13"/>
        <v>0.11179097991065562</v>
      </c>
      <c r="S104" s="2"/>
      <c r="T104" s="2"/>
      <c r="U104" s="2"/>
      <c r="V104" s="19">
        <f t="shared" si="14"/>
        <v>0</v>
      </c>
      <c r="W104" s="2"/>
      <c r="X104" s="2">
        <f t="shared" si="15"/>
        <v>1006546.47</v>
      </c>
      <c r="Y104" s="2"/>
      <c r="Z104" s="19">
        <f t="shared" si="16"/>
        <v>0</v>
      </c>
    </row>
    <row r="105" spans="1:26" s="24" customFormat="1" hidden="1" outlineLevel="1" x14ac:dyDescent="0.25">
      <c r="A105" s="44"/>
      <c r="B105" s="11" t="str">
        <f>CONCATENATE("          ", "5002", " - ", "PURCHASES @ COST-USED TEXT")</f>
        <v xml:space="preserve">          5002 - PURCHASES @ COST-USED TEXT</v>
      </c>
      <c r="C105" s="11"/>
      <c r="D105" s="2">
        <v>-122091.65</v>
      </c>
      <c r="E105" s="2"/>
      <c r="F105" s="19">
        <f t="shared" si="9"/>
        <v>-0.11754582952137715</v>
      </c>
      <c r="G105" s="2"/>
      <c r="H105" s="2"/>
      <c r="I105" s="2"/>
      <c r="J105" s="19">
        <f t="shared" si="10"/>
        <v>0</v>
      </c>
      <c r="K105" s="2"/>
      <c r="L105" s="2">
        <f t="shared" si="11"/>
        <v>-122091.65</v>
      </c>
      <c r="M105" s="2"/>
      <c r="N105" s="19">
        <f t="shared" si="12"/>
        <v>0</v>
      </c>
      <c r="O105" s="11"/>
      <c r="P105" s="2">
        <v>274961.02</v>
      </c>
      <c r="Q105" s="2"/>
      <c r="R105" s="19">
        <f t="shared" si="13"/>
        <v>3.0538244163762635E-2</v>
      </c>
      <c r="S105" s="2"/>
      <c r="T105" s="2"/>
      <c r="U105" s="2"/>
      <c r="V105" s="19">
        <f t="shared" si="14"/>
        <v>0</v>
      </c>
      <c r="W105" s="2"/>
      <c r="X105" s="2">
        <f t="shared" si="15"/>
        <v>274961.02</v>
      </c>
      <c r="Y105" s="2"/>
      <c r="Z105" s="19">
        <f t="shared" si="16"/>
        <v>0</v>
      </c>
    </row>
    <row r="106" spans="1:26" s="24" customFormat="1" hidden="1" outlineLevel="1" x14ac:dyDescent="0.25">
      <c r="A106" s="44"/>
      <c r="B106" s="11" t="str">
        <f>CONCATENATE("          ", "5003", " - ", "PURCHASES @ COST-RENTAL TEXT")</f>
        <v xml:space="preserve">          5003 - PURCHASES @ COST-RENTAL TEXT</v>
      </c>
      <c r="C106" s="11"/>
      <c r="D106" s="2"/>
      <c r="E106" s="2"/>
      <c r="F106" s="19">
        <f t="shared" si="9"/>
        <v>0</v>
      </c>
      <c r="G106" s="2"/>
      <c r="H106" s="2"/>
      <c r="I106" s="2"/>
      <c r="J106" s="19">
        <f t="shared" si="10"/>
        <v>0</v>
      </c>
      <c r="K106" s="2"/>
      <c r="L106" s="2">
        <f t="shared" si="11"/>
        <v>0</v>
      </c>
      <c r="M106" s="2"/>
      <c r="N106" s="19">
        <f t="shared" si="12"/>
        <v>0</v>
      </c>
      <c r="O106" s="11"/>
      <c r="P106" s="2">
        <v>32.520000000000003</v>
      </c>
      <c r="Q106" s="2"/>
      <c r="R106" s="19">
        <f t="shared" si="13"/>
        <v>3.6117981385345491E-6</v>
      </c>
      <c r="S106" s="2"/>
      <c r="T106" s="2"/>
      <c r="U106" s="2"/>
      <c r="V106" s="19">
        <f t="shared" si="14"/>
        <v>0</v>
      </c>
      <c r="W106" s="2"/>
      <c r="X106" s="2">
        <f t="shared" si="15"/>
        <v>32.520000000000003</v>
      </c>
      <c r="Y106" s="2"/>
      <c r="Z106" s="19">
        <f t="shared" si="16"/>
        <v>0</v>
      </c>
    </row>
    <row r="107" spans="1:26" s="24" customFormat="1" hidden="1" outlineLevel="1" x14ac:dyDescent="0.25">
      <c r="A107" s="44"/>
      <c r="B107" s="11" t="str">
        <f>CONCATENATE("          ", "5004", " - ", "PURCHASES @ COST-DIGITAL TEXT")</f>
        <v xml:space="preserve">          5004 - PURCHASES @ COST-DIGITAL TEXT</v>
      </c>
      <c r="C107" s="11"/>
      <c r="D107" s="2">
        <v>887.88</v>
      </c>
      <c r="E107" s="2"/>
      <c r="F107" s="19">
        <f t="shared" si="9"/>
        <v>8.5482169432094944E-4</v>
      </c>
      <c r="G107" s="2"/>
      <c r="H107" s="2"/>
      <c r="I107" s="2"/>
      <c r="J107" s="19">
        <f t="shared" si="10"/>
        <v>0</v>
      </c>
      <c r="K107" s="2"/>
      <c r="L107" s="2">
        <f t="shared" si="11"/>
        <v>887.88</v>
      </c>
      <c r="M107" s="2"/>
      <c r="N107" s="19">
        <f t="shared" si="12"/>
        <v>0</v>
      </c>
      <c r="O107" s="11"/>
      <c r="P107" s="2">
        <v>207450.38</v>
      </c>
      <c r="Q107" s="2"/>
      <c r="R107" s="19">
        <f t="shared" si="13"/>
        <v>2.3040248964399903E-2</v>
      </c>
      <c r="S107" s="2"/>
      <c r="T107" s="2"/>
      <c r="U107" s="2"/>
      <c r="V107" s="19">
        <f t="shared" si="14"/>
        <v>0</v>
      </c>
      <c r="W107" s="2"/>
      <c r="X107" s="2">
        <f t="shared" si="15"/>
        <v>207450.38</v>
      </c>
      <c r="Y107" s="2"/>
      <c r="Z107" s="19">
        <f t="shared" si="16"/>
        <v>0</v>
      </c>
    </row>
    <row r="108" spans="1:26" s="24" customFormat="1" hidden="1" outlineLevel="1" x14ac:dyDescent="0.25">
      <c r="A108" s="44"/>
      <c r="B108" s="11" t="str">
        <f>CONCATENATE("          ", "5011", " - ", "PURCHASES @ COST-NO VALUE TEXT")</f>
        <v xml:space="preserve">          5011 - PURCHASES @ COST-NO VALUE TEXT</v>
      </c>
      <c r="C108" s="11"/>
      <c r="D108" s="2"/>
      <c r="E108" s="2"/>
      <c r="F108" s="19">
        <f t="shared" si="9"/>
        <v>0</v>
      </c>
      <c r="G108" s="2"/>
      <c r="H108" s="2"/>
      <c r="I108" s="2"/>
      <c r="J108" s="19">
        <f t="shared" si="10"/>
        <v>0</v>
      </c>
      <c r="K108" s="2"/>
      <c r="L108" s="2">
        <f t="shared" si="11"/>
        <v>0</v>
      </c>
      <c r="M108" s="2"/>
      <c r="N108" s="19">
        <f t="shared" si="12"/>
        <v>0</v>
      </c>
      <c r="O108" s="11"/>
      <c r="P108" s="2">
        <v>67.17</v>
      </c>
      <c r="Q108" s="2"/>
      <c r="R108" s="19">
        <f t="shared" si="13"/>
        <v>7.4601623913089068E-6</v>
      </c>
      <c r="S108" s="2"/>
      <c r="T108" s="2"/>
      <c r="U108" s="2"/>
      <c r="V108" s="19">
        <f t="shared" si="14"/>
        <v>0</v>
      </c>
      <c r="W108" s="2"/>
      <c r="X108" s="2">
        <f t="shared" si="15"/>
        <v>67.17</v>
      </c>
      <c r="Y108" s="2"/>
      <c r="Z108" s="19">
        <f t="shared" si="16"/>
        <v>0</v>
      </c>
    </row>
    <row r="109" spans="1:26" s="24" customFormat="1" hidden="1" outlineLevel="1" x14ac:dyDescent="0.25">
      <c r="A109" s="44"/>
      <c r="B109" s="11" t="str">
        <f>CONCATENATE("          ", "5013", " - ", "PURCHASES @ COST-TRADE BOOKS")</f>
        <v xml:space="preserve">          5013 - PURCHASES @ COST-TRADE BOOKS</v>
      </c>
      <c r="C109" s="11"/>
      <c r="D109" s="2">
        <v>800</v>
      </c>
      <c r="E109" s="2"/>
      <c r="F109" s="19">
        <f t="shared" si="9"/>
        <v>7.7021371745816954E-4</v>
      </c>
      <c r="G109" s="2"/>
      <c r="H109" s="2"/>
      <c r="I109" s="2"/>
      <c r="J109" s="19">
        <f t="shared" si="10"/>
        <v>0</v>
      </c>
      <c r="K109" s="2"/>
      <c r="L109" s="2">
        <f t="shared" si="11"/>
        <v>800</v>
      </c>
      <c r="M109" s="2"/>
      <c r="N109" s="19">
        <f t="shared" si="12"/>
        <v>0</v>
      </c>
      <c r="O109" s="11"/>
      <c r="P109" s="2">
        <v>9670.02</v>
      </c>
      <c r="Q109" s="2"/>
      <c r="R109" s="19">
        <f t="shared" si="13"/>
        <v>1.0739901671461211E-3</v>
      </c>
      <c r="S109" s="2"/>
      <c r="T109" s="2"/>
      <c r="U109" s="2"/>
      <c r="V109" s="19">
        <f t="shared" si="14"/>
        <v>0</v>
      </c>
      <c r="W109" s="2"/>
      <c r="X109" s="2">
        <f t="shared" si="15"/>
        <v>9670.02</v>
      </c>
      <c r="Y109" s="2"/>
      <c r="Z109" s="19">
        <f t="shared" si="16"/>
        <v>0</v>
      </c>
    </row>
    <row r="110" spans="1:26" s="24" customFormat="1" hidden="1" outlineLevel="1" x14ac:dyDescent="0.25">
      <c r="A110" s="44"/>
      <c r="B110" s="11" t="str">
        <f>CONCATENATE("          ", "5014", " - ", "PURCHASES @ COST-REMAINDERS")</f>
        <v xml:space="preserve">          5014 - PURCHASES @ COST-REMAINDERS</v>
      </c>
      <c r="C110" s="11"/>
      <c r="D110" s="2"/>
      <c r="E110" s="2"/>
      <c r="F110" s="19">
        <f t="shared" si="9"/>
        <v>0</v>
      </c>
      <c r="G110" s="2"/>
      <c r="H110" s="2"/>
      <c r="I110" s="2"/>
      <c r="J110" s="19">
        <f t="shared" si="10"/>
        <v>0</v>
      </c>
      <c r="K110" s="2"/>
      <c r="L110" s="2">
        <f t="shared" si="11"/>
        <v>0</v>
      </c>
      <c r="M110" s="2"/>
      <c r="N110" s="19">
        <f t="shared" si="12"/>
        <v>0</v>
      </c>
      <c r="O110" s="11"/>
      <c r="P110" s="2">
        <v>111.57</v>
      </c>
      <c r="Q110" s="2"/>
      <c r="R110" s="19">
        <f t="shared" si="13"/>
        <v>1.2391399702223234E-5</v>
      </c>
      <c r="S110" s="2"/>
      <c r="T110" s="2"/>
      <c r="U110" s="2"/>
      <c r="V110" s="19">
        <f t="shared" si="14"/>
        <v>0</v>
      </c>
      <c r="W110" s="2"/>
      <c r="X110" s="2">
        <f t="shared" si="15"/>
        <v>111.57</v>
      </c>
      <c r="Y110" s="2"/>
      <c r="Z110" s="19">
        <f t="shared" si="16"/>
        <v>0</v>
      </c>
    </row>
    <row r="111" spans="1:26" s="24" customFormat="1" hidden="1" outlineLevel="1" x14ac:dyDescent="0.25">
      <c r="A111" s="44"/>
      <c r="B111" s="11" t="str">
        <f>CONCATENATE("          ", "5018", " - ", "PURCHASES @ COST-STUDY GUIDES")</f>
        <v xml:space="preserve">          5018 - PURCHASES @ COST-STUDY GUIDES</v>
      </c>
      <c r="C111" s="11"/>
      <c r="D111" s="2"/>
      <c r="E111" s="2"/>
      <c r="F111" s="19">
        <f t="shared" si="9"/>
        <v>0</v>
      </c>
      <c r="G111" s="2"/>
      <c r="H111" s="2"/>
      <c r="I111" s="2"/>
      <c r="J111" s="19">
        <f t="shared" si="10"/>
        <v>0</v>
      </c>
      <c r="K111" s="2"/>
      <c r="L111" s="2">
        <f t="shared" si="11"/>
        <v>0</v>
      </c>
      <c r="M111" s="2"/>
      <c r="N111" s="19">
        <f t="shared" si="12"/>
        <v>0</v>
      </c>
      <c r="O111" s="11"/>
      <c r="P111" s="2">
        <v>967.21</v>
      </c>
      <c r="Q111" s="2"/>
      <c r="R111" s="19">
        <f t="shared" si="13"/>
        <v>1.074221180065191E-4</v>
      </c>
      <c r="S111" s="2"/>
      <c r="T111" s="2"/>
      <c r="U111" s="2"/>
      <c r="V111" s="19">
        <f t="shared" si="14"/>
        <v>0</v>
      </c>
      <c r="W111" s="2"/>
      <c r="X111" s="2">
        <f t="shared" si="15"/>
        <v>967.21</v>
      </c>
      <c r="Y111" s="2"/>
      <c r="Z111" s="19">
        <f t="shared" si="16"/>
        <v>0</v>
      </c>
    </row>
    <row r="112" spans="1:26" s="24" customFormat="1" hidden="1" outlineLevel="1" x14ac:dyDescent="0.25">
      <c r="A112" s="44"/>
      <c r="B112" s="11" t="str">
        <f>CONCATENATE("          ", "5025", " - ", "PURCHASES @ COST-TEST FORMS")</f>
        <v xml:space="preserve">          5025 - PURCHASES @ COST-TEST FORMS</v>
      </c>
      <c r="C112" s="11"/>
      <c r="D112" s="2"/>
      <c r="E112" s="2"/>
      <c r="F112" s="19">
        <f t="shared" si="9"/>
        <v>0</v>
      </c>
      <c r="G112" s="2"/>
      <c r="H112" s="2"/>
      <c r="I112" s="2"/>
      <c r="J112" s="19">
        <f t="shared" si="10"/>
        <v>0</v>
      </c>
      <c r="K112" s="2"/>
      <c r="L112" s="2">
        <f t="shared" si="11"/>
        <v>0</v>
      </c>
      <c r="M112" s="2"/>
      <c r="N112" s="19">
        <f t="shared" si="12"/>
        <v>0</v>
      </c>
      <c r="O112" s="11"/>
      <c r="P112" s="2">
        <v>599.29</v>
      </c>
      <c r="Q112" s="2"/>
      <c r="R112" s="19">
        <f t="shared" si="13"/>
        <v>6.6559486667969539E-5</v>
      </c>
      <c r="S112" s="2"/>
      <c r="T112" s="2"/>
      <c r="U112" s="2"/>
      <c r="V112" s="19">
        <f t="shared" si="14"/>
        <v>0</v>
      </c>
      <c r="W112" s="2"/>
      <c r="X112" s="2">
        <f t="shared" si="15"/>
        <v>599.29</v>
      </c>
      <c r="Y112" s="2"/>
      <c r="Z112" s="19">
        <f t="shared" si="16"/>
        <v>0</v>
      </c>
    </row>
    <row r="113" spans="1:26" s="24" customFormat="1" hidden="1" outlineLevel="1" x14ac:dyDescent="0.25">
      <c r="A113" s="44"/>
      <c r="B113" s="11" t="str">
        <f>CONCATENATE("          ", "5026", " - ", "PURCHASES @ COST-WRITING INSTR")</f>
        <v xml:space="preserve">          5026 - PURCHASES @ COST-WRITING INSTR</v>
      </c>
      <c r="C113" s="11"/>
      <c r="D113" s="2"/>
      <c r="E113" s="2"/>
      <c r="F113" s="19">
        <f t="shared" si="9"/>
        <v>0</v>
      </c>
      <c r="G113" s="2"/>
      <c r="H113" s="2"/>
      <c r="I113" s="2"/>
      <c r="J113" s="19">
        <f t="shared" si="10"/>
        <v>0</v>
      </c>
      <c r="K113" s="2"/>
      <c r="L113" s="2">
        <f t="shared" si="11"/>
        <v>0</v>
      </c>
      <c r="M113" s="2"/>
      <c r="N113" s="19">
        <f t="shared" si="12"/>
        <v>0</v>
      </c>
      <c r="O113" s="11"/>
      <c r="P113" s="2">
        <v>584.54999999999995</v>
      </c>
      <c r="Q113" s="2"/>
      <c r="R113" s="19">
        <f t="shared" si="13"/>
        <v>6.4922404731868706E-5</v>
      </c>
      <c r="S113" s="2"/>
      <c r="T113" s="2"/>
      <c r="U113" s="2"/>
      <c r="V113" s="19">
        <f t="shared" si="14"/>
        <v>0</v>
      </c>
      <c r="W113" s="2"/>
      <c r="X113" s="2">
        <f t="shared" si="15"/>
        <v>584.54999999999995</v>
      </c>
      <c r="Y113" s="2"/>
      <c r="Z113" s="19">
        <f t="shared" si="16"/>
        <v>0</v>
      </c>
    </row>
    <row r="114" spans="1:26" s="24" customFormat="1" hidden="1" outlineLevel="1" x14ac:dyDescent="0.25">
      <c r="A114" s="44"/>
      <c r="B114" s="11" t="str">
        <f>CONCATENATE("          ", "5027", " - ", "PURCHASES @ COST-SCHOOL SUPPLI")</f>
        <v xml:space="preserve">          5027 - PURCHASES @ COST-SCHOOL SUPPLI</v>
      </c>
      <c r="C114" s="11"/>
      <c r="D114" s="2">
        <v>1838.72</v>
      </c>
      <c r="E114" s="2"/>
      <c r="F114" s="19">
        <f t="shared" si="9"/>
        <v>1.770259208205857E-3</v>
      </c>
      <c r="G114" s="2"/>
      <c r="H114" s="2"/>
      <c r="I114" s="2"/>
      <c r="J114" s="19">
        <f t="shared" si="10"/>
        <v>0</v>
      </c>
      <c r="K114" s="2"/>
      <c r="L114" s="2">
        <f t="shared" si="11"/>
        <v>1838.72</v>
      </c>
      <c r="M114" s="2"/>
      <c r="N114" s="19">
        <f t="shared" si="12"/>
        <v>0</v>
      </c>
      <c r="O114" s="11"/>
      <c r="P114" s="2">
        <v>23734.6</v>
      </c>
      <c r="Q114" s="2"/>
      <c r="R114" s="19">
        <f t="shared" si="13"/>
        <v>2.6360573216132254E-3</v>
      </c>
      <c r="S114" s="2"/>
      <c r="T114" s="2"/>
      <c r="U114" s="2"/>
      <c r="V114" s="19">
        <f t="shared" si="14"/>
        <v>0</v>
      </c>
      <c r="W114" s="2"/>
      <c r="X114" s="2">
        <f t="shared" si="15"/>
        <v>23734.6</v>
      </c>
      <c r="Y114" s="2"/>
      <c r="Z114" s="19">
        <f t="shared" si="16"/>
        <v>0</v>
      </c>
    </row>
    <row r="115" spans="1:26" s="24" customFormat="1" hidden="1" outlineLevel="1" x14ac:dyDescent="0.25">
      <c r="A115" s="44"/>
      <c r="B115" s="11" t="str">
        <f>CONCATENATE("          ", "5028", " - ", "PURCHASES @ COST-ART/TECH")</f>
        <v xml:space="preserve">          5028 - PURCHASES @ COST-ART/TECH</v>
      </c>
      <c r="C115" s="11"/>
      <c r="D115" s="2">
        <v>1371.26</v>
      </c>
      <c r="E115" s="2"/>
      <c r="F115" s="19">
        <f t="shared" si="9"/>
        <v>1.320204077752112E-3</v>
      </c>
      <c r="G115" s="2"/>
      <c r="H115" s="2"/>
      <c r="I115" s="2"/>
      <c r="J115" s="19">
        <f t="shared" si="10"/>
        <v>0</v>
      </c>
      <c r="K115" s="2"/>
      <c r="L115" s="2">
        <f t="shared" si="11"/>
        <v>1371.26</v>
      </c>
      <c r="M115" s="2"/>
      <c r="N115" s="19">
        <f t="shared" si="12"/>
        <v>0</v>
      </c>
      <c r="O115" s="11"/>
      <c r="P115" s="2">
        <v>47006.62</v>
      </c>
      <c r="Q115" s="2"/>
      <c r="R115" s="19">
        <f t="shared" si="13"/>
        <v>5.220738702792156E-3</v>
      </c>
      <c r="S115" s="2"/>
      <c r="T115" s="2"/>
      <c r="U115" s="2"/>
      <c r="V115" s="19">
        <f t="shared" si="14"/>
        <v>0</v>
      </c>
      <c r="W115" s="2"/>
      <c r="X115" s="2">
        <f t="shared" si="15"/>
        <v>47006.62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"5031", " - ", "PURCHASES @ COST-FOOD")</f>
        <v xml:space="preserve">          5031 - PURCHASES @ COST-FOOD</v>
      </c>
      <c r="C116" s="11"/>
      <c r="D116" s="2"/>
      <c r="E116" s="2"/>
      <c r="F116" s="19">
        <f t="shared" si="9"/>
        <v>0</v>
      </c>
      <c r="G116" s="2"/>
      <c r="H116" s="2"/>
      <c r="I116" s="2"/>
      <c r="J116" s="19">
        <f t="shared" si="10"/>
        <v>0</v>
      </c>
      <c r="K116" s="2"/>
      <c r="L116" s="2">
        <f t="shared" si="11"/>
        <v>0</v>
      </c>
      <c r="M116" s="2"/>
      <c r="N116" s="19">
        <f t="shared" si="12"/>
        <v>0</v>
      </c>
      <c r="O116" s="11"/>
      <c r="P116" s="2">
        <v>7785.72</v>
      </c>
      <c r="Q116" s="2"/>
      <c r="R116" s="19">
        <f t="shared" si="13"/>
        <v>8.6471245397143934E-4</v>
      </c>
      <c r="S116" s="2"/>
      <c r="T116" s="2"/>
      <c r="U116" s="2"/>
      <c r="V116" s="19">
        <f t="shared" si="14"/>
        <v>0</v>
      </c>
      <c r="W116" s="2"/>
      <c r="X116" s="2">
        <f t="shared" si="15"/>
        <v>7785.72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"5040", " - ", "PURCHASES @ COST-LOGO CLOTHING")</f>
        <v xml:space="preserve">          5040 - PURCHASES @ COST-LOGO CLOTHING</v>
      </c>
      <c r="C117" s="11"/>
      <c r="D117" s="2">
        <v>39218.65</v>
      </c>
      <c r="E117" s="2"/>
      <c r="F117" s="19">
        <f t="shared" si="9"/>
        <v>3.7758427762738557E-2</v>
      </c>
      <c r="G117" s="2"/>
      <c r="H117" s="2"/>
      <c r="I117" s="2"/>
      <c r="J117" s="19">
        <f t="shared" si="10"/>
        <v>0</v>
      </c>
      <c r="K117" s="2"/>
      <c r="L117" s="2">
        <f t="shared" si="11"/>
        <v>39218.65</v>
      </c>
      <c r="M117" s="2"/>
      <c r="N117" s="19">
        <f t="shared" si="12"/>
        <v>0</v>
      </c>
      <c r="O117" s="11"/>
      <c r="P117" s="2">
        <v>279090.25</v>
      </c>
      <c r="Q117" s="2"/>
      <c r="R117" s="19">
        <f t="shared" si="13"/>
        <v>3.0996852565594767E-2</v>
      </c>
      <c r="S117" s="2"/>
      <c r="T117" s="2"/>
      <c r="U117" s="2"/>
      <c r="V117" s="19">
        <f t="shared" si="14"/>
        <v>0</v>
      </c>
      <c r="W117" s="2"/>
      <c r="X117" s="2">
        <f t="shared" si="15"/>
        <v>279090.25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"5041", " - ", "PURCHASES @ COST-LOGO GIFTS")</f>
        <v xml:space="preserve">          5041 - PURCHASES @ COST-LOGO GIFTS</v>
      </c>
      <c r="C118" s="11"/>
      <c r="D118" s="2">
        <v>15798.51</v>
      </c>
      <c r="E118" s="2"/>
      <c r="F118" s="19">
        <f t="shared" si="9"/>
        <v>1.5210286396750084E-2</v>
      </c>
      <c r="G118" s="2"/>
      <c r="H118" s="2"/>
      <c r="I118" s="2"/>
      <c r="J118" s="19">
        <f t="shared" si="10"/>
        <v>0</v>
      </c>
      <c r="K118" s="2"/>
      <c r="L118" s="2">
        <f t="shared" si="11"/>
        <v>15798.51</v>
      </c>
      <c r="M118" s="2"/>
      <c r="N118" s="19">
        <f t="shared" si="12"/>
        <v>0</v>
      </c>
      <c r="O118" s="11"/>
      <c r="P118" s="2">
        <v>84261.95</v>
      </c>
      <c r="Q118" s="2"/>
      <c r="R118" s="19">
        <f t="shared" si="13"/>
        <v>9.3584610750089541E-3</v>
      </c>
      <c r="S118" s="2"/>
      <c r="T118" s="2"/>
      <c r="U118" s="2"/>
      <c r="V118" s="19">
        <f t="shared" si="14"/>
        <v>0</v>
      </c>
      <c r="W118" s="2"/>
      <c r="X118" s="2">
        <f t="shared" si="15"/>
        <v>84261.95</v>
      </c>
      <c r="Y118" s="2"/>
      <c r="Z118" s="19">
        <f t="shared" si="16"/>
        <v>0</v>
      </c>
    </row>
    <row r="119" spans="1:26" s="24" customFormat="1" hidden="1" outlineLevel="1" x14ac:dyDescent="0.25">
      <c r="A119" s="44"/>
      <c r="B119" s="11" t="str">
        <f>CONCATENATE("          ", "5042", " - ", "PURCHASES @ COST-EVERYDAY GIFT")</f>
        <v xml:space="preserve">          5042 - PURCHASES @ COST-EVERYDAY GIFT</v>
      </c>
      <c r="C119" s="11"/>
      <c r="D119" s="2"/>
      <c r="E119" s="2"/>
      <c r="F119" s="19">
        <f t="shared" si="9"/>
        <v>0</v>
      </c>
      <c r="G119" s="2"/>
      <c r="H119" s="2"/>
      <c r="I119" s="2"/>
      <c r="J119" s="19">
        <f t="shared" si="10"/>
        <v>0</v>
      </c>
      <c r="K119" s="2"/>
      <c r="L119" s="2">
        <f t="shared" si="11"/>
        <v>0</v>
      </c>
      <c r="M119" s="2"/>
      <c r="N119" s="19">
        <f t="shared" si="12"/>
        <v>0</v>
      </c>
      <c r="O119" s="11"/>
      <c r="P119" s="2">
        <v>18748.18</v>
      </c>
      <c r="Q119" s="2"/>
      <c r="R119" s="19">
        <f t="shared" si="13"/>
        <v>2.0822460524265269E-3</v>
      </c>
      <c r="S119" s="2"/>
      <c r="T119" s="2"/>
      <c r="U119" s="2"/>
      <c r="V119" s="19">
        <f t="shared" si="14"/>
        <v>0</v>
      </c>
      <c r="W119" s="2"/>
      <c r="X119" s="2">
        <f t="shared" si="15"/>
        <v>18748.18</v>
      </c>
      <c r="Y119" s="2"/>
      <c r="Z119" s="19">
        <f t="shared" si="16"/>
        <v>0</v>
      </c>
    </row>
    <row r="120" spans="1:26" s="24" customFormat="1" hidden="1" outlineLevel="1" x14ac:dyDescent="0.25">
      <c r="A120" s="44"/>
      <c r="B120" s="11" t="str">
        <f>CONCATENATE("          ", "5043", " - ", "PURCHASES @ COST-CARDS")</f>
        <v xml:space="preserve">          5043 - PURCHASES @ COST-CARDS</v>
      </c>
      <c r="C120" s="11"/>
      <c r="D120" s="2">
        <v>41</v>
      </c>
      <c r="E120" s="2"/>
      <c r="F120" s="19">
        <f t="shared" si="9"/>
        <v>3.9473453019731191E-5</v>
      </c>
      <c r="G120" s="2"/>
      <c r="H120" s="2"/>
      <c r="I120" s="2"/>
      <c r="J120" s="19">
        <f t="shared" si="10"/>
        <v>0</v>
      </c>
      <c r="K120" s="2"/>
      <c r="L120" s="2">
        <f t="shared" si="11"/>
        <v>41</v>
      </c>
      <c r="M120" s="2"/>
      <c r="N120" s="19">
        <f t="shared" si="12"/>
        <v>0</v>
      </c>
      <c r="O120" s="11"/>
      <c r="P120" s="2">
        <v>55405.33</v>
      </c>
      <c r="Q120" s="2"/>
      <c r="R120" s="19">
        <f t="shared" si="13"/>
        <v>6.1535322189081301E-3</v>
      </c>
      <c r="S120" s="2"/>
      <c r="T120" s="2"/>
      <c r="U120" s="2"/>
      <c r="V120" s="19">
        <f t="shared" si="14"/>
        <v>0</v>
      </c>
      <c r="W120" s="2"/>
      <c r="X120" s="2">
        <f t="shared" si="15"/>
        <v>55405.33</v>
      </c>
      <c r="Y120" s="2"/>
      <c r="Z120" s="19">
        <f t="shared" si="16"/>
        <v>0</v>
      </c>
    </row>
    <row r="121" spans="1:26" s="24" customFormat="1" hidden="1" outlineLevel="1" x14ac:dyDescent="0.25">
      <c r="A121" s="44"/>
      <c r="B121" s="11" t="str">
        <f>CONCATENATE("          ", "5044", " - ", "PURCHASES @ COST-ACCESSORIES")</f>
        <v xml:space="preserve">          5044 - PURCHASES @ COST-ACCESSORIES</v>
      </c>
      <c r="C121" s="11"/>
      <c r="D121" s="2">
        <v>1490.88</v>
      </c>
      <c r="E121" s="2"/>
      <c r="F121" s="19">
        <f t="shared" si="9"/>
        <v>1.435370283855045E-3</v>
      </c>
      <c r="G121" s="2"/>
      <c r="H121" s="2"/>
      <c r="I121" s="2"/>
      <c r="J121" s="19">
        <f t="shared" si="10"/>
        <v>0</v>
      </c>
      <c r="K121" s="2"/>
      <c r="L121" s="2">
        <f t="shared" si="11"/>
        <v>1490.88</v>
      </c>
      <c r="M121" s="2"/>
      <c r="N121" s="19">
        <f t="shared" si="12"/>
        <v>0</v>
      </c>
      <c r="O121" s="11"/>
      <c r="P121" s="2">
        <v>2555.71</v>
      </c>
      <c r="Q121" s="2"/>
      <c r="R121" s="19">
        <f t="shared" si="13"/>
        <v>2.838471285557851E-4</v>
      </c>
      <c r="S121" s="2"/>
      <c r="T121" s="2"/>
      <c r="U121" s="2"/>
      <c r="V121" s="19">
        <f t="shared" si="14"/>
        <v>0</v>
      </c>
      <c r="W121" s="2"/>
      <c r="X121" s="2">
        <f t="shared" si="15"/>
        <v>2555.71</v>
      </c>
      <c r="Y121" s="2"/>
      <c r="Z121" s="19">
        <f t="shared" si="16"/>
        <v>0</v>
      </c>
    </row>
    <row r="122" spans="1:26" s="24" customFormat="1" hidden="1" outlineLevel="1" x14ac:dyDescent="0.25">
      <c r="A122" s="44"/>
      <c r="B122" s="11" t="str">
        <f>CONCATENATE("          ", "5045", " - ", "PURCHASES @ COST-SPECIAL ORDER")</f>
        <v xml:space="preserve">          5045 - PURCHASES @ COST-SPECIAL ORDER</v>
      </c>
      <c r="C122" s="11"/>
      <c r="D122" s="2">
        <v>5771.38</v>
      </c>
      <c r="E122" s="2"/>
      <c r="F122" s="19">
        <f t="shared" si="9"/>
        <v>5.5564950558296636E-3</v>
      </c>
      <c r="G122" s="2"/>
      <c r="H122" s="2"/>
      <c r="I122" s="2"/>
      <c r="J122" s="19">
        <f t="shared" si="10"/>
        <v>0</v>
      </c>
      <c r="K122" s="2"/>
      <c r="L122" s="2">
        <f t="shared" si="11"/>
        <v>5771.38</v>
      </c>
      <c r="M122" s="2"/>
      <c r="N122" s="19">
        <f t="shared" si="12"/>
        <v>0</v>
      </c>
      <c r="O122" s="11"/>
      <c r="P122" s="2">
        <v>114998.07</v>
      </c>
      <c r="Q122" s="2"/>
      <c r="R122" s="19">
        <f t="shared" si="13"/>
        <v>1.2772134537548148E-2</v>
      </c>
      <c r="S122" s="2"/>
      <c r="T122" s="2"/>
      <c r="U122" s="2"/>
      <c r="V122" s="19">
        <f t="shared" si="14"/>
        <v>0</v>
      </c>
      <c r="W122" s="2"/>
      <c r="X122" s="2">
        <f t="shared" si="15"/>
        <v>114998.07</v>
      </c>
      <c r="Y122" s="2"/>
      <c r="Z122" s="19">
        <f t="shared" si="16"/>
        <v>0</v>
      </c>
    </row>
    <row r="123" spans="1:26" s="24" customFormat="1" hidden="1" outlineLevel="1" x14ac:dyDescent="0.25">
      <c r="A123" s="44"/>
      <c r="B123" s="11" t="str">
        <f>CONCATENATE("          ", "5053", " - ", "PURCHASES @ COST-FOOD")</f>
        <v xml:space="preserve">          5053 - PURCHASES @ COST-FOOD</v>
      </c>
      <c r="C123" s="11"/>
      <c r="D123" s="2">
        <v>50330.63</v>
      </c>
      <c r="E123" s="2"/>
      <c r="F123" s="19">
        <f t="shared" si="9"/>
        <v>4.8456677042889591E-2</v>
      </c>
      <c r="G123" s="2"/>
      <c r="H123" s="2"/>
      <c r="I123" s="2"/>
      <c r="J123" s="19">
        <f t="shared" si="10"/>
        <v>0</v>
      </c>
      <c r="K123" s="2"/>
      <c r="L123" s="2">
        <f t="shared" si="11"/>
        <v>50330.63</v>
      </c>
      <c r="M123" s="2"/>
      <c r="N123" s="19">
        <f t="shared" si="12"/>
        <v>0</v>
      </c>
      <c r="O123" s="11"/>
      <c r="P123" s="2">
        <v>425336.02</v>
      </c>
      <c r="Q123" s="2"/>
      <c r="R123" s="19">
        <f t="shared" si="13"/>
        <v>4.7239478637382953E-2</v>
      </c>
      <c r="S123" s="2"/>
      <c r="T123" s="2"/>
      <c r="U123" s="2"/>
      <c r="V123" s="19">
        <f t="shared" si="14"/>
        <v>0</v>
      </c>
      <c r="W123" s="2"/>
      <c r="X123" s="2">
        <f t="shared" si="15"/>
        <v>425336.02</v>
      </c>
      <c r="Y123" s="2"/>
      <c r="Z123" s="19">
        <f t="shared" si="16"/>
        <v>0</v>
      </c>
    </row>
    <row r="124" spans="1:26" s="24" customFormat="1" hidden="1" outlineLevel="1" x14ac:dyDescent="0.25">
      <c r="A124" s="44"/>
      <c r="B124" s="11" t="str">
        <f>CONCATENATE("          ", "5059", " - ", "PURCHASES @ COST-FOOD")</f>
        <v xml:space="preserve">          5059 - PURCHASES @ COST-FOOD</v>
      </c>
      <c r="C124" s="11"/>
      <c r="D124" s="2">
        <v>653.01</v>
      </c>
      <c r="E124" s="2"/>
      <c r="F124" s="19">
        <f t="shared" si="9"/>
        <v>6.2869657454669916E-4</v>
      </c>
      <c r="G124" s="2"/>
      <c r="H124" s="2"/>
      <c r="I124" s="2"/>
      <c r="J124" s="19">
        <f t="shared" si="10"/>
        <v>0</v>
      </c>
      <c r="K124" s="2"/>
      <c r="L124" s="2">
        <f t="shared" si="11"/>
        <v>653.01</v>
      </c>
      <c r="M124" s="2"/>
      <c r="N124" s="19">
        <f t="shared" si="12"/>
        <v>0</v>
      </c>
      <c r="O124" s="11"/>
      <c r="P124" s="2">
        <v>32494.3</v>
      </c>
      <c r="Q124" s="2"/>
      <c r="R124" s="19">
        <f t="shared" si="13"/>
        <v>3.6089437962171949E-3</v>
      </c>
      <c r="S124" s="2"/>
      <c r="T124" s="2"/>
      <c r="U124" s="2"/>
      <c r="V124" s="19">
        <f t="shared" si="14"/>
        <v>0</v>
      </c>
      <c r="W124" s="2"/>
      <c r="X124" s="2">
        <f t="shared" si="15"/>
        <v>32494.3</v>
      </c>
      <c r="Y124" s="2"/>
      <c r="Z124" s="19">
        <f t="shared" si="16"/>
        <v>0</v>
      </c>
    </row>
    <row r="125" spans="1:26" s="24" customFormat="1" hidden="1" outlineLevel="1" x14ac:dyDescent="0.25">
      <c r="A125" s="44"/>
      <c r="B125" s="11" t="str">
        <f>CONCATENATE("          ", "5081", " - ", "PURCHASES @ COST-ELECTRONICS")</f>
        <v xml:space="preserve">          5081 - PURCHASES @ COST-ELECTRONICS</v>
      </c>
      <c r="C125" s="11"/>
      <c r="D125" s="2">
        <v>-19.5</v>
      </c>
      <c r="E125" s="2"/>
      <c r="F125" s="19">
        <f t="shared" si="9"/>
        <v>-1.8773959363042883E-5</v>
      </c>
      <c r="G125" s="2"/>
      <c r="H125" s="2"/>
      <c r="I125" s="2"/>
      <c r="J125" s="19">
        <f t="shared" si="10"/>
        <v>0</v>
      </c>
      <c r="K125" s="2"/>
      <c r="L125" s="2">
        <f t="shared" si="11"/>
        <v>-19.5</v>
      </c>
      <c r="M125" s="2"/>
      <c r="N125" s="19">
        <f t="shared" si="12"/>
        <v>0</v>
      </c>
      <c r="O125" s="11"/>
      <c r="P125" s="2">
        <v>32448.37</v>
      </c>
      <c r="Q125" s="2"/>
      <c r="R125" s="19">
        <f t="shared" si="13"/>
        <v>3.6038426311340802E-3</v>
      </c>
      <c r="S125" s="2"/>
      <c r="T125" s="2"/>
      <c r="U125" s="2"/>
      <c r="V125" s="19">
        <f t="shared" si="14"/>
        <v>0</v>
      </c>
      <c r="W125" s="2"/>
      <c r="X125" s="2">
        <f t="shared" si="15"/>
        <v>32448.37</v>
      </c>
      <c r="Y125" s="2"/>
      <c r="Z125" s="19">
        <f t="shared" si="16"/>
        <v>0</v>
      </c>
    </row>
    <row r="126" spans="1:26" s="24" customFormat="1" hidden="1" outlineLevel="1" x14ac:dyDescent="0.25">
      <c r="A126" s="44"/>
      <c r="B126" s="11" t="str">
        <f>CONCATENATE("          ", "5082", " - ", "PURCHASES @ COST-COMPUTER HARD")</f>
        <v xml:space="preserve">          5082 - PURCHASES @ COST-COMPUTER HARD</v>
      </c>
      <c r="C126" s="11"/>
      <c r="D126" s="2">
        <v>277047.03999999998</v>
      </c>
      <c r="E126" s="2"/>
      <c r="F126" s="19">
        <f t="shared" si="9"/>
        <v>0.26673178823647775</v>
      </c>
      <c r="G126" s="2"/>
      <c r="H126" s="2"/>
      <c r="I126" s="2"/>
      <c r="J126" s="19">
        <f t="shared" si="10"/>
        <v>0</v>
      </c>
      <c r="K126" s="2"/>
      <c r="L126" s="2">
        <f t="shared" si="11"/>
        <v>277047.03999999998</v>
      </c>
      <c r="M126" s="2"/>
      <c r="N126" s="19">
        <f t="shared" si="12"/>
        <v>0</v>
      </c>
      <c r="O126" s="11"/>
      <c r="P126" s="2">
        <v>1673340.8</v>
      </c>
      <c r="Q126" s="2"/>
      <c r="R126" s="19">
        <f t="shared" si="13"/>
        <v>0.18584776096475747</v>
      </c>
      <c r="S126" s="2"/>
      <c r="T126" s="2"/>
      <c r="U126" s="2"/>
      <c r="V126" s="19">
        <f t="shared" si="14"/>
        <v>0</v>
      </c>
      <c r="W126" s="2"/>
      <c r="X126" s="2">
        <f t="shared" si="15"/>
        <v>1673340.8</v>
      </c>
      <c r="Y126" s="2"/>
      <c r="Z126" s="19">
        <f t="shared" si="16"/>
        <v>0</v>
      </c>
    </row>
    <row r="127" spans="1:26" s="24" customFormat="1" hidden="1" outlineLevel="1" x14ac:dyDescent="0.25">
      <c r="A127" s="44"/>
      <c r="B127" s="11" t="str">
        <f>CONCATENATE("          ", "5083", " - ", "PURCHASES @ COST-COMPUTER EQUI")</f>
        <v xml:space="preserve">          5083 - PURCHASES @ COST-COMPUTER EQUI</v>
      </c>
      <c r="C127" s="11"/>
      <c r="D127" s="2">
        <v>14312.16</v>
      </c>
      <c r="E127" s="2"/>
      <c r="F127" s="19">
        <f t="shared" si="9"/>
        <v>1.3779277448070145E-2</v>
      </c>
      <c r="G127" s="2"/>
      <c r="H127" s="2"/>
      <c r="I127" s="2"/>
      <c r="J127" s="19">
        <f t="shared" si="10"/>
        <v>0</v>
      </c>
      <c r="K127" s="2"/>
      <c r="L127" s="2">
        <f t="shared" si="11"/>
        <v>14312.16</v>
      </c>
      <c r="M127" s="2"/>
      <c r="N127" s="19">
        <f t="shared" si="12"/>
        <v>0</v>
      </c>
      <c r="O127" s="11"/>
      <c r="P127" s="2">
        <v>119515.49</v>
      </c>
      <c r="Q127" s="2"/>
      <c r="R127" s="19">
        <f t="shared" si="13"/>
        <v>1.3273856836040729E-2</v>
      </c>
      <c r="S127" s="2"/>
      <c r="T127" s="2"/>
      <c r="U127" s="2"/>
      <c r="V127" s="19">
        <f t="shared" si="14"/>
        <v>0</v>
      </c>
      <c r="W127" s="2"/>
      <c r="X127" s="2">
        <f t="shared" si="15"/>
        <v>119515.49</v>
      </c>
      <c r="Y127" s="2"/>
      <c r="Z127" s="19">
        <f t="shared" si="16"/>
        <v>0</v>
      </c>
    </row>
    <row r="128" spans="1:26" s="24" customFormat="1" hidden="1" outlineLevel="1" x14ac:dyDescent="0.25">
      <c r="A128" s="44"/>
      <c r="B128" s="11" t="str">
        <f>CONCATENATE("          ", "5085", " - ", "PURCHASES @ COST-SOFTWARE")</f>
        <v xml:space="preserve">          5085 - PURCHASES @ COST-SOFTWARE</v>
      </c>
      <c r="C128" s="11"/>
      <c r="D128" s="2">
        <v>4012.17</v>
      </c>
      <c r="E128" s="2"/>
      <c r="F128" s="19">
        <f t="shared" si="9"/>
        <v>3.8627854634676801E-3</v>
      </c>
      <c r="G128" s="2"/>
      <c r="H128" s="2"/>
      <c r="I128" s="2"/>
      <c r="J128" s="19">
        <f t="shared" si="10"/>
        <v>0</v>
      </c>
      <c r="K128" s="2"/>
      <c r="L128" s="2">
        <f t="shared" si="11"/>
        <v>4012.17</v>
      </c>
      <c r="M128" s="2"/>
      <c r="N128" s="19">
        <f t="shared" si="12"/>
        <v>0</v>
      </c>
      <c r="O128" s="11"/>
      <c r="P128" s="2">
        <v>37910.879999999997</v>
      </c>
      <c r="Q128" s="2"/>
      <c r="R128" s="19">
        <f t="shared" si="13"/>
        <v>4.210530314089995E-3</v>
      </c>
      <c r="S128" s="2"/>
      <c r="T128" s="2"/>
      <c r="U128" s="2"/>
      <c r="V128" s="19">
        <f t="shared" si="14"/>
        <v>0</v>
      </c>
      <c r="W128" s="2"/>
      <c r="X128" s="2">
        <f t="shared" si="15"/>
        <v>37910.879999999997</v>
      </c>
      <c r="Y128" s="2"/>
      <c r="Z128" s="19">
        <f t="shared" si="16"/>
        <v>0</v>
      </c>
    </row>
    <row r="129" spans="1:26" s="24" customFormat="1" hidden="1" outlineLevel="1" x14ac:dyDescent="0.25">
      <c r="A129" s="44"/>
      <c r="B129" s="11" t="str">
        <f>CONCATENATE("          ", "5086", " - ", "PURCHASES @ COST-COMPUTER SUPP")</f>
        <v xml:space="preserve">          5086 - PURCHASES @ COST-COMPUTER SUPP</v>
      </c>
      <c r="C129" s="11"/>
      <c r="D129" s="2">
        <v>28.4</v>
      </c>
      <c r="E129" s="2"/>
      <c r="F129" s="19">
        <f t="shared" si="9"/>
        <v>2.7342586969765019E-5</v>
      </c>
      <c r="G129" s="2"/>
      <c r="H129" s="2"/>
      <c r="I129" s="2"/>
      <c r="J129" s="19">
        <f t="shared" si="10"/>
        <v>0</v>
      </c>
      <c r="K129" s="2"/>
      <c r="L129" s="2">
        <f t="shared" si="11"/>
        <v>28.4</v>
      </c>
      <c r="M129" s="2"/>
      <c r="N129" s="19">
        <f t="shared" si="12"/>
        <v>0</v>
      </c>
      <c r="O129" s="11"/>
      <c r="P129" s="2">
        <v>23692.6</v>
      </c>
      <c r="Q129" s="2"/>
      <c r="R129" s="19">
        <f t="shared" si="13"/>
        <v>2.6313926376704687E-3</v>
      </c>
      <c r="S129" s="2"/>
      <c r="T129" s="2"/>
      <c r="U129" s="2"/>
      <c r="V129" s="19">
        <f t="shared" si="14"/>
        <v>0</v>
      </c>
      <c r="W129" s="2"/>
      <c r="X129" s="2">
        <f t="shared" si="15"/>
        <v>23692.6</v>
      </c>
      <c r="Y129" s="2"/>
      <c r="Z129" s="19">
        <f t="shared" si="16"/>
        <v>0</v>
      </c>
    </row>
    <row r="130" spans="1:26" s="24" customFormat="1" hidden="1" outlineLevel="1" x14ac:dyDescent="0.25">
      <c r="A130" s="44"/>
      <c r="B130" s="11" t="str">
        <f>CONCATENATE("          ", "5092", " - ", "PURCHASES @ COST-GRAD MERCH")</f>
        <v xml:space="preserve">          5092 - PURCHASES @ COST-GRAD MERCH</v>
      </c>
      <c r="C130" s="11"/>
      <c r="D130" s="2"/>
      <c r="E130" s="2"/>
      <c r="F130" s="19">
        <f t="shared" si="9"/>
        <v>0</v>
      </c>
      <c r="G130" s="2"/>
      <c r="H130" s="2"/>
      <c r="I130" s="2"/>
      <c r="J130" s="19">
        <f t="shared" si="10"/>
        <v>0</v>
      </c>
      <c r="K130" s="2"/>
      <c r="L130" s="2">
        <f t="shared" si="11"/>
        <v>0</v>
      </c>
      <c r="M130" s="2"/>
      <c r="N130" s="19">
        <f t="shared" si="12"/>
        <v>0</v>
      </c>
      <c r="O130" s="11"/>
      <c r="P130" s="2">
        <v>0</v>
      </c>
      <c r="Q130" s="2"/>
      <c r="R130" s="19">
        <f t="shared" si="13"/>
        <v>0</v>
      </c>
      <c r="S130" s="2"/>
      <c r="T130" s="2"/>
      <c r="U130" s="2"/>
      <c r="V130" s="19">
        <f t="shared" si="14"/>
        <v>0</v>
      </c>
      <c r="W130" s="2"/>
      <c r="X130" s="2">
        <f t="shared" si="15"/>
        <v>0</v>
      </c>
      <c r="Y130" s="2"/>
      <c r="Z130" s="19">
        <f t="shared" si="16"/>
        <v>0</v>
      </c>
    </row>
    <row r="131" spans="1:26" s="24" customFormat="1" hidden="1" outlineLevel="1" x14ac:dyDescent="0.25">
      <c r="A131" s="44"/>
      <c r="B131" s="11" t="str">
        <f>CONCATENATE("          ", "5200", " - ", "PURCHASES OFFSET")</f>
        <v xml:space="preserve">          5200 - PURCHASES OFFSET</v>
      </c>
      <c r="C131" s="11"/>
      <c r="D131" s="2">
        <v>-216816.48</v>
      </c>
      <c r="E131" s="2"/>
      <c r="F131" s="19">
        <f t="shared" si="9"/>
        <v>-0.20874378383374359</v>
      </c>
      <c r="G131" s="2"/>
      <c r="H131" s="2"/>
      <c r="I131" s="2"/>
      <c r="J131" s="19">
        <f t="shared" si="10"/>
        <v>0</v>
      </c>
      <c r="K131" s="2"/>
      <c r="L131" s="2">
        <f t="shared" si="11"/>
        <v>-216816.48</v>
      </c>
      <c r="M131" s="2"/>
      <c r="N131" s="19">
        <f t="shared" si="12"/>
        <v>0</v>
      </c>
      <c r="O131" s="11"/>
      <c r="P131" s="2">
        <v>-3568766.21</v>
      </c>
      <c r="Q131" s="2"/>
      <c r="R131" s="19">
        <f t="shared" si="13"/>
        <v>-0.39636110560095317</v>
      </c>
      <c r="S131" s="2"/>
      <c r="T131" s="2"/>
      <c r="U131" s="2"/>
      <c r="V131" s="19">
        <f t="shared" si="14"/>
        <v>0</v>
      </c>
      <c r="W131" s="2"/>
      <c r="X131" s="2">
        <f t="shared" si="15"/>
        <v>-3568766.21</v>
      </c>
      <c r="Y131" s="2"/>
      <c r="Z131" s="19">
        <f t="shared" si="16"/>
        <v>0</v>
      </c>
    </row>
    <row r="132" spans="1:26" s="24" customFormat="1" hidden="1" outlineLevel="1" x14ac:dyDescent="0.25">
      <c r="A132" s="44"/>
      <c r="B132" s="11" t="str">
        <f>CONCATENATE("          ", "5300", " - ", "COG$ OFFSET")</f>
        <v xml:space="preserve">          5300 - COG$ OFFSET</v>
      </c>
      <c r="C132" s="11"/>
      <c r="D132" s="2">
        <v>592301</v>
      </c>
      <c r="E132" s="2"/>
      <c r="F132" s="19">
        <f t="shared" si="9"/>
        <v>0.57024794383023913</v>
      </c>
      <c r="G132" s="2"/>
      <c r="H132" s="2"/>
      <c r="I132" s="2"/>
      <c r="J132" s="19">
        <f t="shared" si="10"/>
        <v>0</v>
      </c>
      <c r="K132" s="2"/>
      <c r="L132" s="2">
        <f t="shared" si="11"/>
        <v>592301</v>
      </c>
      <c r="M132" s="2"/>
      <c r="N132" s="19">
        <f t="shared" si="12"/>
        <v>0</v>
      </c>
      <c r="O132" s="11"/>
      <c r="P132" s="2">
        <v>4630385</v>
      </c>
      <c r="Q132" s="2"/>
      <c r="R132" s="19">
        <f t="shared" si="13"/>
        <v>0.51426863234004605</v>
      </c>
      <c r="S132" s="2"/>
      <c r="T132" s="2"/>
      <c r="U132" s="2"/>
      <c r="V132" s="19">
        <f t="shared" si="14"/>
        <v>0</v>
      </c>
      <c r="W132" s="2"/>
      <c r="X132" s="2">
        <f t="shared" si="15"/>
        <v>4630385</v>
      </c>
      <c r="Y132" s="2"/>
      <c r="Z132" s="19">
        <f t="shared" si="16"/>
        <v>0</v>
      </c>
    </row>
    <row r="133" spans="1:26" s="24" customFormat="1" hidden="1" outlineLevel="1" x14ac:dyDescent="0.25">
      <c r="A133" s="44"/>
      <c r="B133" s="11" t="str">
        <f>CONCATENATE("          ", "5500", " - ", "FREIGHT-IN")</f>
        <v xml:space="preserve">          5500 - FREIGHT-IN</v>
      </c>
      <c r="C133" s="11"/>
      <c r="D133" s="2"/>
      <c r="E133" s="2"/>
      <c r="F133" s="19">
        <f t="shared" si="9"/>
        <v>0</v>
      </c>
      <c r="G133" s="2"/>
      <c r="H133" s="2"/>
      <c r="I133" s="2"/>
      <c r="J133" s="19">
        <f t="shared" si="10"/>
        <v>0</v>
      </c>
      <c r="K133" s="2"/>
      <c r="L133" s="2">
        <f t="shared" si="11"/>
        <v>0</v>
      </c>
      <c r="M133" s="2"/>
      <c r="N133" s="19">
        <f t="shared" si="12"/>
        <v>0</v>
      </c>
      <c r="O133" s="11"/>
      <c r="P133" s="2">
        <v>0</v>
      </c>
      <c r="Q133" s="2"/>
      <c r="R133" s="19">
        <f t="shared" si="13"/>
        <v>0</v>
      </c>
      <c r="S133" s="2"/>
      <c r="T133" s="2"/>
      <c r="U133" s="2"/>
      <c r="V133" s="19">
        <f t="shared" si="14"/>
        <v>0</v>
      </c>
      <c r="W133" s="2"/>
      <c r="X133" s="2">
        <f t="shared" si="15"/>
        <v>0</v>
      </c>
      <c r="Y133" s="2"/>
      <c r="Z133" s="19">
        <f t="shared" si="16"/>
        <v>0</v>
      </c>
    </row>
    <row r="134" spans="1:26" s="24" customFormat="1" hidden="1" outlineLevel="1" x14ac:dyDescent="0.25">
      <c r="A134" s="44"/>
      <c r="B134" s="11" t="str">
        <f>CONCATENATE("          ", "5501", " - ", "FREIGHT-IN-NEW TEXT")</f>
        <v xml:space="preserve">          5501 - FREIGHT-IN-NEW TEXT</v>
      </c>
      <c r="C134" s="11"/>
      <c r="D134" s="2">
        <v>271.27</v>
      </c>
      <c r="E134" s="2"/>
      <c r="F134" s="19">
        <f t="shared" si="9"/>
        <v>2.6116984391859707E-4</v>
      </c>
      <c r="G134" s="2"/>
      <c r="H134" s="2"/>
      <c r="I134" s="2"/>
      <c r="J134" s="19">
        <f t="shared" si="10"/>
        <v>0</v>
      </c>
      <c r="K134" s="2"/>
      <c r="L134" s="2">
        <f t="shared" si="11"/>
        <v>271.27</v>
      </c>
      <c r="M134" s="2"/>
      <c r="N134" s="19">
        <f t="shared" si="12"/>
        <v>0</v>
      </c>
      <c r="O134" s="11"/>
      <c r="P134" s="2">
        <v>50313.73</v>
      </c>
      <c r="Q134" s="2"/>
      <c r="R134" s="19">
        <f t="shared" si="13"/>
        <v>5.5880392483619278E-3</v>
      </c>
      <c r="S134" s="2"/>
      <c r="T134" s="2"/>
      <c r="U134" s="2"/>
      <c r="V134" s="19">
        <f t="shared" si="14"/>
        <v>0</v>
      </c>
      <c r="W134" s="2"/>
      <c r="X134" s="2">
        <f t="shared" si="15"/>
        <v>50313.73</v>
      </c>
      <c r="Y134" s="2"/>
      <c r="Z134" s="19">
        <f t="shared" si="16"/>
        <v>0</v>
      </c>
    </row>
    <row r="135" spans="1:26" s="24" customFormat="1" hidden="1" outlineLevel="1" x14ac:dyDescent="0.25">
      <c r="A135" s="44"/>
      <c r="B135" s="11" t="str">
        <f>CONCATENATE("          ", "5502", " - ", "FREIGHT-IN-USED TEXT")</f>
        <v xml:space="preserve">          5502 - FREIGHT-IN-USED TEXT</v>
      </c>
      <c r="C135" s="11"/>
      <c r="D135" s="2">
        <v>58.77</v>
      </c>
      <c r="E135" s="2"/>
      <c r="F135" s="19">
        <f t="shared" si="9"/>
        <v>5.6581825218770785E-5</v>
      </c>
      <c r="G135" s="2"/>
      <c r="H135" s="2"/>
      <c r="I135" s="2"/>
      <c r="J135" s="19">
        <f t="shared" si="10"/>
        <v>0</v>
      </c>
      <c r="K135" s="2"/>
      <c r="L135" s="2">
        <f t="shared" si="11"/>
        <v>58.77</v>
      </c>
      <c r="M135" s="2"/>
      <c r="N135" s="19">
        <f t="shared" si="12"/>
        <v>0</v>
      </c>
      <c r="O135" s="11"/>
      <c r="P135" s="2">
        <v>17858.900000000001</v>
      </c>
      <c r="Q135" s="2"/>
      <c r="R135" s="19">
        <f t="shared" si="13"/>
        <v>1.9834791444118898E-3</v>
      </c>
      <c r="S135" s="2"/>
      <c r="T135" s="2"/>
      <c r="U135" s="2"/>
      <c r="V135" s="19">
        <f t="shared" si="14"/>
        <v>0</v>
      </c>
      <c r="W135" s="2"/>
      <c r="X135" s="2">
        <f t="shared" si="15"/>
        <v>17858.900000000001</v>
      </c>
      <c r="Y135" s="2"/>
      <c r="Z135" s="19">
        <f t="shared" si="16"/>
        <v>0</v>
      </c>
    </row>
    <row r="136" spans="1:26" s="24" customFormat="1" hidden="1" outlineLevel="1" x14ac:dyDescent="0.25">
      <c r="A136" s="44"/>
      <c r="B136" s="11" t="str">
        <f>CONCATENATE("          ", "5504", " - ", "FREIGHT-IN-DIGITAL TEXT")</f>
        <v xml:space="preserve">          5504 - FREIGHT-IN-DIGITAL TEXT</v>
      </c>
      <c r="C136" s="11"/>
      <c r="D136" s="2"/>
      <c r="E136" s="2"/>
      <c r="F136" s="19">
        <f t="shared" si="9"/>
        <v>0</v>
      </c>
      <c r="G136" s="2"/>
      <c r="H136" s="2"/>
      <c r="I136" s="2"/>
      <c r="J136" s="19">
        <f t="shared" si="10"/>
        <v>0</v>
      </c>
      <c r="K136" s="2"/>
      <c r="L136" s="2">
        <f t="shared" si="11"/>
        <v>0</v>
      </c>
      <c r="M136" s="2"/>
      <c r="N136" s="19">
        <f t="shared" si="12"/>
        <v>0</v>
      </c>
      <c r="O136" s="11"/>
      <c r="P136" s="2">
        <v>28.92</v>
      </c>
      <c r="Q136" s="2"/>
      <c r="R136" s="19">
        <f t="shared" si="13"/>
        <v>3.2119680862982521E-6</v>
      </c>
      <c r="S136" s="2"/>
      <c r="T136" s="2"/>
      <c r="U136" s="2"/>
      <c r="V136" s="19">
        <f t="shared" si="14"/>
        <v>0</v>
      </c>
      <c r="W136" s="2"/>
      <c r="X136" s="2">
        <f t="shared" si="15"/>
        <v>28.92</v>
      </c>
      <c r="Y136" s="2"/>
      <c r="Z136" s="19">
        <f t="shared" si="16"/>
        <v>0</v>
      </c>
    </row>
    <row r="137" spans="1:26" s="24" customFormat="1" hidden="1" outlineLevel="1" x14ac:dyDescent="0.25">
      <c r="A137" s="44"/>
      <c r="B137" s="11" t="str">
        <f>CONCATENATE("          ", "5513", " - ", "FREIGHT-IN-TRADE BOOKS")</f>
        <v xml:space="preserve">          5513 - FREIGHT-IN-TRADE BOOKS</v>
      </c>
      <c r="C137" s="11"/>
      <c r="D137" s="2"/>
      <c r="E137" s="2"/>
      <c r="F137" s="19">
        <f t="shared" si="9"/>
        <v>0</v>
      </c>
      <c r="G137" s="2"/>
      <c r="H137" s="2"/>
      <c r="I137" s="2"/>
      <c r="J137" s="19">
        <f t="shared" si="10"/>
        <v>0</v>
      </c>
      <c r="K137" s="2"/>
      <c r="L137" s="2">
        <f t="shared" si="11"/>
        <v>0</v>
      </c>
      <c r="M137" s="2"/>
      <c r="N137" s="19">
        <f t="shared" si="12"/>
        <v>0</v>
      </c>
      <c r="O137" s="11"/>
      <c r="P137" s="2">
        <v>85.28</v>
      </c>
      <c r="Q137" s="2"/>
      <c r="R137" s="19">
        <f t="shared" si="13"/>
        <v>9.4715296818642788E-6</v>
      </c>
      <c r="S137" s="2"/>
      <c r="T137" s="2"/>
      <c r="U137" s="2"/>
      <c r="V137" s="19">
        <f t="shared" si="14"/>
        <v>0</v>
      </c>
      <c r="W137" s="2"/>
      <c r="X137" s="2">
        <f t="shared" si="15"/>
        <v>85.28</v>
      </c>
      <c r="Y137" s="2"/>
      <c r="Z137" s="19">
        <f t="shared" si="16"/>
        <v>0</v>
      </c>
    </row>
    <row r="138" spans="1:26" s="24" customFormat="1" hidden="1" outlineLevel="1" x14ac:dyDescent="0.25">
      <c r="A138" s="44"/>
      <c r="B138" s="11" t="str">
        <f>CONCATENATE("          ", "5525", " - ", "FREIGHT-IN-TEST FORMS")</f>
        <v xml:space="preserve">          5525 - FREIGHT-IN-TEST FORMS</v>
      </c>
      <c r="C138" s="11"/>
      <c r="D138" s="2"/>
      <c r="E138" s="2"/>
      <c r="F138" s="19">
        <f t="shared" si="9"/>
        <v>0</v>
      </c>
      <c r="G138" s="2"/>
      <c r="H138" s="2"/>
      <c r="I138" s="2"/>
      <c r="J138" s="19">
        <f t="shared" si="10"/>
        <v>0</v>
      </c>
      <c r="K138" s="2"/>
      <c r="L138" s="2">
        <f t="shared" si="11"/>
        <v>0</v>
      </c>
      <c r="M138" s="2"/>
      <c r="N138" s="19">
        <f t="shared" si="12"/>
        <v>0</v>
      </c>
      <c r="O138" s="11"/>
      <c r="P138" s="2">
        <v>48.14</v>
      </c>
      <c r="Q138" s="2"/>
      <c r="R138" s="19">
        <f t="shared" si="13"/>
        <v>5.3466163096264812E-6</v>
      </c>
      <c r="S138" s="2"/>
      <c r="T138" s="2"/>
      <c r="U138" s="2"/>
      <c r="V138" s="19">
        <f t="shared" si="14"/>
        <v>0</v>
      </c>
      <c r="W138" s="2"/>
      <c r="X138" s="2">
        <f t="shared" si="15"/>
        <v>48.14</v>
      </c>
      <c r="Y138" s="2"/>
      <c r="Z138" s="19">
        <f t="shared" si="16"/>
        <v>0</v>
      </c>
    </row>
    <row r="139" spans="1:26" s="24" customFormat="1" hidden="1" outlineLevel="1" x14ac:dyDescent="0.25">
      <c r="A139" s="44"/>
      <c r="B139" s="11" t="str">
        <f>CONCATENATE("          ", "5526", " - ", "FREIGHT-IN-WRITING INSTRUMENTS")</f>
        <v xml:space="preserve">          5526 - FREIGHT-IN-WRITING INSTRUMENTS</v>
      </c>
      <c r="C139" s="11"/>
      <c r="D139" s="2"/>
      <c r="E139" s="2"/>
      <c r="F139" s="19">
        <f t="shared" si="9"/>
        <v>0</v>
      </c>
      <c r="G139" s="2"/>
      <c r="H139" s="2"/>
      <c r="I139" s="2"/>
      <c r="J139" s="19">
        <f t="shared" si="10"/>
        <v>0</v>
      </c>
      <c r="K139" s="2"/>
      <c r="L139" s="2">
        <f t="shared" si="11"/>
        <v>0</v>
      </c>
      <c r="M139" s="2"/>
      <c r="N139" s="19">
        <f t="shared" si="12"/>
        <v>0</v>
      </c>
      <c r="O139" s="11"/>
      <c r="P139" s="2">
        <v>0</v>
      </c>
      <c r="Q139" s="2"/>
      <c r="R139" s="19">
        <f t="shared" si="13"/>
        <v>0</v>
      </c>
      <c r="S139" s="2"/>
      <c r="T139" s="2"/>
      <c r="U139" s="2"/>
      <c r="V139" s="19">
        <f t="shared" si="14"/>
        <v>0</v>
      </c>
      <c r="W139" s="2"/>
      <c r="X139" s="2">
        <f t="shared" si="15"/>
        <v>0</v>
      </c>
      <c r="Y139" s="2"/>
      <c r="Z139" s="19">
        <f t="shared" si="16"/>
        <v>0</v>
      </c>
    </row>
    <row r="140" spans="1:26" s="24" customFormat="1" hidden="1" outlineLevel="1" x14ac:dyDescent="0.25">
      <c r="A140" s="44"/>
      <c r="B140" s="11" t="str">
        <f>CONCATENATE("          ", "5527", " - ", "FREIGHT-IN-SCHOOL SUPPLIES")</f>
        <v xml:space="preserve">          5527 - FREIGHT-IN-SCHOOL SUPPLIES</v>
      </c>
      <c r="C140" s="11"/>
      <c r="D140" s="2"/>
      <c r="E140" s="2"/>
      <c r="F140" s="19">
        <f t="shared" si="9"/>
        <v>0</v>
      </c>
      <c r="G140" s="2"/>
      <c r="H140" s="2"/>
      <c r="I140" s="2"/>
      <c r="J140" s="19">
        <f t="shared" si="10"/>
        <v>0</v>
      </c>
      <c r="K140" s="2"/>
      <c r="L140" s="2">
        <f t="shared" si="11"/>
        <v>0</v>
      </c>
      <c r="M140" s="2"/>
      <c r="N140" s="19">
        <f t="shared" si="12"/>
        <v>0</v>
      </c>
      <c r="O140" s="11"/>
      <c r="P140" s="2">
        <v>218.62</v>
      </c>
      <c r="Q140" s="2"/>
      <c r="R140" s="19">
        <f t="shared" si="13"/>
        <v>2.4280790561083121E-5</v>
      </c>
      <c r="S140" s="2"/>
      <c r="T140" s="2"/>
      <c r="U140" s="2"/>
      <c r="V140" s="19">
        <f t="shared" si="14"/>
        <v>0</v>
      </c>
      <c r="W140" s="2"/>
      <c r="X140" s="2">
        <f t="shared" si="15"/>
        <v>218.62</v>
      </c>
      <c r="Y140" s="2"/>
      <c r="Z140" s="19">
        <f t="shared" si="16"/>
        <v>0</v>
      </c>
    </row>
    <row r="141" spans="1:26" s="24" customFormat="1" hidden="1" outlineLevel="1" x14ac:dyDescent="0.25">
      <c r="A141" s="44"/>
      <c r="B141" s="11" t="str">
        <f>CONCATENATE("          ", "5528", " - ", "FREIGHT-IN-ART/TECH")</f>
        <v xml:space="preserve">          5528 - FREIGHT-IN-ART/TECH</v>
      </c>
      <c r="C141" s="11"/>
      <c r="D141" s="2">
        <v>89.22</v>
      </c>
      <c r="E141" s="2"/>
      <c r="F141" s="19">
        <f t="shared" si="9"/>
        <v>8.5898084839522367E-5</v>
      </c>
      <c r="G141" s="2"/>
      <c r="H141" s="2"/>
      <c r="I141" s="2"/>
      <c r="J141" s="19">
        <f t="shared" si="10"/>
        <v>0</v>
      </c>
      <c r="K141" s="2"/>
      <c r="L141" s="2">
        <f t="shared" si="11"/>
        <v>89.22</v>
      </c>
      <c r="M141" s="2"/>
      <c r="N141" s="19">
        <f t="shared" si="12"/>
        <v>0</v>
      </c>
      <c r="O141" s="11"/>
      <c r="P141" s="2">
        <v>544.42999999999995</v>
      </c>
      <c r="Q141" s="2"/>
      <c r="R141" s="19">
        <f t="shared" si="13"/>
        <v>6.0466520927501974E-5</v>
      </c>
      <c r="S141" s="2"/>
      <c r="T141" s="2"/>
      <c r="U141" s="2"/>
      <c r="V141" s="19">
        <f t="shared" si="14"/>
        <v>0</v>
      </c>
      <c r="W141" s="2"/>
      <c r="X141" s="2">
        <f t="shared" si="15"/>
        <v>544.42999999999995</v>
      </c>
      <c r="Y141" s="2"/>
      <c r="Z141" s="19">
        <f t="shared" si="16"/>
        <v>0</v>
      </c>
    </row>
    <row r="142" spans="1:26" s="24" customFormat="1" hidden="1" outlineLevel="1" x14ac:dyDescent="0.25">
      <c r="A142" s="44"/>
      <c r="B142" s="11" t="str">
        <f>CONCATENATE("          ", "5540", " - ", "FREIGHT-IN-LOGO CLOTHING")</f>
        <v xml:space="preserve">          5540 - FREIGHT-IN-LOGO CLOTHING</v>
      </c>
      <c r="C142" s="11"/>
      <c r="D142" s="2">
        <v>2107.65</v>
      </c>
      <c r="E142" s="2"/>
      <c r="F142" s="19">
        <f t="shared" si="9"/>
        <v>2.0291761770008889E-3</v>
      </c>
      <c r="G142" s="2"/>
      <c r="H142" s="2"/>
      <c r="I142" s="2"/>
      <c r="J142" s="19">
        <f t="shared" si="10"/>
        <v>0</v>
      </c>
      <c r="K142" s="2"/>
      <c r="L142" s="2">
        <f t="shared" si="11"/>
        <v>2107.65</v>
      </c>
      <c r="M142" s="2"/>
      <c r="N142" s="19">
        <f t="shared" si="12"/>
        <v>0</v>
      </c>
      <c r="O142" s="11"/>
      <c r="P142" s="2">
        <v>9216.02</v>
      </c>
      <c r="Q142" s="2"/>
      <c r="R142" s="19">
        <f t="shared" si="13"/>
        <v>1.0235671550029881E-3</v>
      </c>
      <c r="S142" s="2"/>
      <c r="T142" s="2"/>
      <c r="U142" s="2"/>
      <c r="V142" s="19">
        <f t="shared" si="14"/>
        <v>0</v>
      </c>
      <c r="W142" s="2"/>
      <c r="X142" s="2">
        <f t="shared" si="15"/>
        <v>9216.02</v>
      </c>
      <c r="Y142" s="2"/>
      <c r="Z142" s="19">
        <f t="shared" si="16"/>
        <v>0</v>
      </c>
    </row>
    <row r="143" spans="1:26" s="24" customFormat="1" hidden="1" outlineLevel="1" x14ac:dyDescent="0.25">
      <c r="A143" s="44"/>
      <c r="B143" s="11" t="str">
        <f>CONCATENATE("          ", "5541", " - ", "FREIGHT-IN-LOGO GIFTS")</f>
        <v xml:space="preserve">          5541 - FREIGHT-IN-LOGO GIFTS</v>
      </c>
      <c r="C143" s="11"/>
      <c r="D143" s="2">
        <v>2877.99</v>
      </c>
      <c r="E143" s="2"/>
      <c r="F143" s="19">
        <f t="shared" si="9"/>
        <v>2.7708342208842968E-3</v>
      </c>
      <c r="G143" s="2"/>
      <c r="H143" s="2"/>
      <c r="I143" s="2"/>
      <c r="J143" s="19">
        <f t="shared" si="10"/>
        <v>0</v>
      </c>
      <c r="K143" s="2"/>
      <c r="L143" s="2">
        <f t="shared" si="11"/>
        <v>2877.99</v>
      </c>
      <c r="M143" s="2"/>
      <c r="N143" s="19">
        <f t="shared" si="12"/>
        <v>0</v>
      </c>
      <c r="O143" s="11"/>
      <c r="P143" s="2">
        <v>5015.99</v>
      </c>
      <c r="Q143" s="2"/>
      <c r="R143" s="19">
        <f t="shared" si="13"/>
        <v>5.5709542881020638E-4</v>
      </c>
      <c r="S143" s="2"/>
      <c r="T143" s="2"/>
      <c r="U143" s="2"/>
      <c r="V143" s="19">
        <f t="shared" si="14"/>
        <v>0</v>
      </c>
      <c r="W143" s="2"/>
      <c r="X143" s="2">
        <f t="shared" si="15"/>
        <v>5015.99</v>
      </c>
      <c r="Y143" s="2"/>
      <c r="Z143" s="19">
        <f t="shared" si="16"/>
        <v>0</v>
      </c>
    </row>
    <row r="144" spans="1:26" s="24" customFormat="1" hidden="1" outlineLevel="1" x14ac:dyDescent="0.25">
      <c r="A144" s="44"/>
      <c r="B144" s="11" t="str">
        <f>CONCATENATE("          ", "5542", " - ", "FREIGHT-IN-EVERYDAY GIFTS")</f>
        <v xml:space="preserve">          5542 - FREIGHT-IN-EVERYDAY GIFTS</v>
      </c>
      <c r="C144" s="11"/>
      <c r="D144" s="2"/>
      <c r="E144" s="2"/>
      <c r="F144" s="19">
        <f t="shared" si="9"/>
        <v>0</v>
      </c>
      <c r="G144" s="2"/>
      <c r="H144" s="2"/>
      <c r="I144" s="2"/>
      <c r="J144" s="19">
        <f t="shared" si="10"/>
        <v>0</v>
      </c>
      <c r="K144" s="2"/>
      <c r="L144" s="2">
        <f t="shared" si="11"/>
        <v>0</v>
      </c>
      <c r="M144" s="2"/>
      <c r="N144" s="19">
        <f t="shared" si="12"/>
        <v>0</v>
      </c>
      <c r="O144" s="11"/>
      <c r="P144" s="2">
        <v>681.72</v>
      </c>
      <c r="Q144" s="2"/>
      <c r="R144" s="19">
        <f t="shared" si="13"/>
        <v>7.5714484225146756E-5</v>
      </c>
      <c r="S144" s="2"/>
      <c r="T144" s="2"/>
      <c r="U144" s="2"/>
      <c r="V144" s="19">
        <f t="shared" si="14"/>
        <v>0</v>
      </c>
      <c r="W144" s="2"/>
      <c r="X144" s="2">
        <f t="shared" si="15"/>
        <v>681.72</v>
      </c>
      <c r="Y144" s="2"/>
      <c r="Z144" s="19">
        <f t="shared" si="16"/>
        <v>0</v>
      </c>
    </row>
    <row r="145" spans="1:26" s="24" customFormat="1" hidden="1" outlineLevel="1" x14ac:dyDescent="0.25">
      <c r="A145" s="44"/>
      <c r="B145" s="11" t="str">
        <f>CONCATENATE("          ", "5543", " - ", "FREIGHT-IN-CARDS")</f>
        <v xml:space="preserve">          5543 - FREIGHT-IN-CARDS</v>
      </c>
      <c r="C145" s="11"/>
      <c r="D145" s="2"/>
      <c r="E145" s="2"/>
      <c r="F145" s="19">
        <f t="shared" si="9"/>
        <v>0</v>
      </c>
      <c r="G145" s="2"/>
      <c r="H145" s="2"/>
      <c r="I145" s="2"/>
      <c r="J145" s="19">
        <f t="shared" si="10"/>
        <v>0</v>
      </c>
      <c r="K145" s="2"/>
      <c r="L145" s="2">
        <f t="shared" si="11"/>
        <v>0</v>
      </c>
      <c r="M145" s="2"/>
      <c r="N145" s="19">
        <f t="shared" si="12"/>
        <v>0</v>
      </c>
      <c r="O145" s="11"/>
      <c r="P145" s="2">
        <v>9110.5300000000007</v>
      </c>
      <c r="Q145" s="2"/>
      <c r="R145" s="19">
        <f t="shared" si="13"/>
        <v>1.0118510238334307E-3</v>
      </c>
      <c r="S145" s="2"/>
      <c r="T145" s="2"/>
      <c r="U145" s="2"/>
      <c r="V145" s="19">
        <f t="shared" si="14"/>
        <v>0</v>
      </c>
      <c r="W145" s="2"/>
      <c r="X145" s="2">
        <f t="shared" si="15"/>
        <v>9110.5300000000007</v>
      </c>
      <c r="Y145" s="2"/>
      <c r="Z145" s="19">
        <f t="shared" si="16"/>
        <v>0</v>
      </c>
    </row>
    <row r="146" spans="1:26" s="24" customFormat="1" hidden="1" outlineLevel="1" x14ac:dyDescent="0.25">
      <c r="A146" s="44"/>
      <c r="B146" s="11" t="str">
        <f>CONCATENATE("          ", "5545", " - ", "FREIGHT-IN-SPECIAL ORDERS")</f>
        <v xml:space="preserve">          5545 - FREIGHT-IN-SPECIAL ORDERS</v>
      </c>
      <c r="C146" s="11"/>
      <c r="D146" s="2">
        <v>168.6</v>
      </c>
      <c r="E146" s="2"/>
      <c r="F146" s="19">
        <f t="shared" si="9"/>
        <v>1.6232254095430924E-4</v>
      </c>
      <c r="G146" s="2"/>
      <c r="H146" s="2"/>
      <c r="I146" s="2"/>
      <c r="J146" s="19">
        <f t="shared" si="10"/>
        <v>0</v>
      </c>
      <c r="K146" s="2"/>
      <c r="L146" s="2">
        <f t="shared" si="11"/>
        <v>168.6</v>
      </c>
      <c r="M146" s="2"/>
      <c r="N146" s="19">
        <f t="shared" si="12"/>
        <v>0</v>
      </c>
      <c r="O146" s="11"/>
      <c r="P146" s="2">
        <v>1434.76</v>
      </c>
      <c r="Q146" s="2"/>
      <c r="R146" s="19">
        <f t="shared" si="13"/>
        <v>1.5935004604070816E-4</v>
      </c>
      <c r="S146" s="2"/>
      <c r="T146" s="2"/>
      <c r="U146" s="2"/>
      <c r="V146" s="19">
        <f t="shared" si="14"/>
        <v>0</v>
      </c>
      <c r="W146" s="2"/>
      <c r="X146" s="2">
        <f t="shared" si="15"/>
        <v>1434.76</v>
      </c>
      <c r="Y146" s="2"/>
      <c r="Z146" s="19">
        <f t="shared" si="16"/>
        <v>0</v>
      </c>
    </row>
    <row r="147" spans="1:26" s="24" customFormat="1" hidden="1" outlineLevel="1" x14ac:dyDescent="0.25">
      <c r="A147" s="44"/>
      <c r="B147" s="11" t="str">
        <f>CONCATENATE("          ", "5581", " - ", "FREIGHT-IN-ELECTRONICS")</f>
        <v xml:space="preserve">          5581 - FREIGHT-IN-ELECTRONICS</v>
      </c>
      <c r="C147" s="11"/>
      <c r="D147" s="2"/>
      <c r="E147" s="2"/>
      <c r="F147" s="19">
        <f t="shared" si="9"/>
        <v>0</v>
      </c>
      <c r="G147" s="2"/>
      <c r="H147" s="2"/>
      <c r="I147" s="2"/>
      <c r="J147" s="19">
        <f t="shared" si="10"/>
        <v>0</v>
      </c>
      <c r="K147" s="2"/>
      <c r="L147" s="2">
        <f t="shared" si="11"/>
        <v>0</v>
      </c>
      <c r="M147" s="2"/>
      <c r="N147" s="19">
        <f t="shared" si="12"/>
        <v>0</v>
      </c>
      <c r="O147" s="11"/>
      <c r="P147" s="2">
        <v>31</v>
      </c>
      <c r="Q147" s="2"/>
      <c r="R147" s="19">
        <f t="shared" si="13"/>
        <v>3.4429810053681124E-6</v>
      </c>
      <c r="S147" s="2"/>
      <c r="T147" s="2"/>
      <c r="U147" s="2"/>
      <c r="V147" s="19">
        <f t="shared" si="14"/>
        <v>0</v>
      </c>
      <c r="W147" s="2"/>
      <c r="X147" s="2">
        <f t="shared" si="15"/>
        <v>31</v>
      </c>
      <c r="Y147" s="2"/>
      <c r="Z147" s="19">
        <f t="shared" si="16"/>
        <v>0</v>
      </c>
    </row>
    <row r="148" spans="1:26" s="24" customFormat="1" hidden="1" outlineLevel="1" x14ac:dyDescent="0.25">
      <c r="A148" s="44"/>
      <c r="B148" s="11" t="str">
        <f>CONCATENATE("          ", "5582", " - ", "FREIGHT-IN-COMPUTER HARDWARE")</f>
        <v xml:space="preserve">          5582 - FREIGHT-IN-COMPUTER HARDWARE</v>
      </c>
      <c r="C148" s="11"/>
      <c r="D148" s="2"/>
      <c r="E148" s="2"/>
      <c r="F148" s="19">
        <f t="shared" si="9"/>
        <v>0</v>
      </c>
      <c r="G148" s="2"/>
      <c r="H148" s="2"/>
      <c r="I148" s="2"/>
      <c r="J148" s="19">
        <f t="shared" si="10"/>
        <v>0</v>
      </c>
      <c r="K148" s="2"/>
      <c r="L148" s="2">
        <f t="shared" si="11"/>
        <v>0</v>
      </c>
      <c r="M148" s="2"/>
      <c r="N148" s="19">
        <f t="shared" si="12"/>
        <v>0</v>
      </c>
      <c r="O148" s="11"/>
      <c r="P148" s="2">
        <v>125</v>
      </c>
      <c r="Q148" s="2"/>
      <c r="R148" s="19">
        <f t="shared" si="13"/>
        <v>1.3882987924871421E-5</v>
      </c>
      <c r="S148" s="2"/>
      <c r="T148" s="2"/>
      <c r="U148" s="2"/>
      <c r="V148" s="19">
        <f t="shared" si="14"/>
        <v>0</v>
      </c>
      <c r="W148" s="2"/>
      <c r="X148" s="2">
        <f t="shared" si="15"/>
        <v>125</v>
      </c>
      <c r="Y148" s="2"/>
      <c r="Z148" s="19">
        <f t="shared" si="16"/>
        <v>0</v>
      </c>
    </row>
    <row r="149" spans="1:26" s="24" customFormat="1" hidden="1" outlineLevel="1" x14ac:dyDescent="0.25">
      <c r="A149" s="44"/>
      <c r="B149" s="11" t="str">
        <f>CONCATENATE("          ", "5583", " - ", "FREIGHT-IN-COMPUTER EQUIPMENT")</f>
        <v xml:space="preserve">          5583 - FREIGHT-IN-COMPUTER EQUIPMENT</v>
      </c>
      <c r="C149" s="11"/>
      <c r="D149" s="2"/>
      <c r="E149" s="2"/>
      <c r="F149" s="19">
        <f t="shared" si="9"/>
        <v>0</v>
      </c>
      <c r="G149" s="2"/>
      <c r="H149" s="2"/>
      <c r="I149" s="2"/>
      <c r="J149" s="19">
        <f t="shared" si="10"/>
        <v>0</v>
      </c>
      <c r="K149" s="2"/>
      <c r="L149" s="2">
        <f t="shared" si="11"/>
        <v>0</v>
      </c>
      <c r="M149" s="2"/>
      <c r="N149" s="19">
        <f t="shared" si="12"/>
        <v>0</v>
      </c>
      <c r="O149" s="11"/>
      <c r="P149" s="2">
        <v>242.46</v>
      </c>
      <c r="Q149" s="2"/>
      <c r="R149" s="19">
        <f t="shared" si="13"/>
        <v>2.6928554018114598E-5</v>
      </c>
      <c r="S149" s="2"/>
      <c r="T149" s="2"/>
      <c r="U149" s="2"/>
      <c r="V149" s="19">
        <f t="shared" si="14"/>
        <v>0</v>
      </c>
      <c r="W149" s="2"/>
      <c r="X149" s="2">
        <f t="shared" si="15"/>
        <v>242.46</v>
      </c>
      <c r="Y149" s="2"/>
      <c r="Z149" s="19">
        <f t="shared" si="16"/>
        <v>0</v>
      </c>
    </row>
    <row r="150" spans="1:26" s="24" customFormat="1" hidden="1" outlineLevel="1" x14ac:dyDescent="0.25">
      <c r="A150" s="44"/>
      <c r="B150" s="11" t="str">
        <f>CONCATENATE("          ", "5585", " - ", "FREIGHT-IN-SOFTWARE")</f>
        <v xml:space="preserve">          5585 - FREIGHT-IN-SOFTWARE</v>
      </c>
      <c r="C150" s="11"/>
      <c r="D150" s="2"/>
      <c r="E150" s="2"/>
      <c r="F150" s="19">
        <f t="shared" si="9"/>
        <v>0</v>
      </c>
      <c r="G150" s="2"/>
      <c r="H150" s="2"/>
      <c r="I150" s="2"/>
      <c r="J150" s="19">
        <f t="shared" si="10"/>
        <v>0</v>
      </c>
      <c r="K150" s="2"/>
      <c r="L150" s="2">
        <f t="shared" si="11"/>
        <v>0</v>
      </c>
      <c r="M150" s="2"/>
      <c r="N150" s="19">
        <f t="shared" si="12"/>
        <v>0</v>
      </c>
      <c r="O150" s="11"/>
      <c r="P150" s="2">
        <v>9.41</v>
      </c>
      <c r="Q150" s="2"/>
      <c r="R150" s="19">
        <f t="shared" si="13"/>
        <v>1.0451113309843207E-6</v>
      </c>
      <c r="S150" s="2"/>
      <c r="T150" s="2"/>
      <c r="U150" s="2"/>
      <c r="V150" s="19">
        <f t="shared" si="14"/>
        <v>0</v>
      </c>
      <c r="W150" s="2"/>
      <c r="X150" s="2">
        <f t="shared" si="15"/>
        <v>9.41</v>
      </c>
      <c r="Y150" s="2"/>
      <c r="Z150" s="19">
        <f t="shared" si="16"/>
        <v>0</v>
      </c>
    </row>
    <row r="151" spans="1:26" s="24" customFormat="1" hidden="1" outlineLevel="1" x14ac:dyDescent="0.25">
      <c r="A151" s="44"/>
      <c r="B151" s="11" t="str">
        <f>CONCATENATE("          ", "5586", " - ", "FREIGHT-IN-COMPUTER SUPPLIES")</f>
        <v xml:space="preserve">          5586 - FREIGHT-IN-COMPUTER SUPPLIES</v>
      </c>
      <c r="C151" s="11"/>
      <c r="D151" s="2"/>
      <c r="E151" s="2"/>
      <c r="F151" s="19">
        <f t="shared" si="9"/>
        <v>0</v>
      </c>
      <c r="G151" s="2"/>
      <c r="H151" s="2"/>
      <c r="I151" s="2"/>
      <c r="J151" s="19">
        <f t="shared" si="10"/>
        <v>0</v>
      </c>
      <c r="K151" s="2"/>
      <c r="L151" s="2">
        <f t="shared" si="11"/>
        <v>0</v>
      </c>
      <c r="M151" s="2"/>
      <c r="N151" s="19">
        <f t="shared" si="12"/>
        <v>0</v>
      </c>
      <c r="O151" s="11"/>
      <c r="P151" s="2">
        <v>24.12</v>
      </c>
      <c r="Q151" s="2"/>
      <c r="R151" s="19">
        <f t="shared" si="13"/>
        <v>2.6788613499831894E-6</v>
      </c>
      <c r="S151" s="2"/>
      <c r="T151" s="2"/>
      <c r="U151" s="2"/>
      <c r="V151" s="19">
        <f t="shared" si="14"/>
        <v>0</v>
      </c>
      <c r="W151" s="2"/>
      <c r="X151" s="2">
        <f t="shared" si="15"/>
        <v>24.12</v>
      </c>
      <c r="Y151" s="2"/>
      <c r="Z151" s="19">
        <f t="shared" si="16"/>
        <v>0</v>
      </c>
    </row>
    <row r="152" spans="1:26" s="24" customFormat="1" hidden="1" outlineLevel="1" x14ac:dyDescent="0.25">
      <c r="A152" s="44"/>
      <c r="B152" s="11" t="str">
        <f>CONCATENATE("          ", "5592", " - ", "FREIGHT-IN-GRAD MERCH")</f>
        <v xml:space="preserve">          5592 - FREIGHT-IN-GRAD MERCH</v>
      </c>
      <c r="C152" s="11"/>
      <c r="D152" s="2"/>
      <c r="E152" s="2"/>
      <c r="F152" s="19">
        <f t="shared" si="9"/>
        <v>0</v>
      </c>
      <c r="G152" s="2"/>
      <c r="H152" s="2"/>
      <c r="I152" s="2"/>
      <c r="J152" s="19">
        <f t="shared" si="10"/>
        <v>0</v>
      </c>
      <c r="K152" s="2"/>
      <c r="L152" s="2">
        <f t="shared" si="11"/>
        <v>0</v>
      </c>
      <c r="M152" s="2"/>
      <c r="N152" s="19">
        <f t="shared" si="12"/>
        <v>0</v>
      </c>
      <c r="O152" s="11"/>
      <c r="P152" s="2">
        <v>0</v>
      </c>
      <c r="Q152" s="2"/>
      <c r="R152" s="19">
        <f t="shared" si="13"/>
        <v>0</v>
      </c>
      <c r="S152" s="2"/>
      <c r="T152" s="2"/>
      <c r="U152" s="2"/>
      <c r="V152" s="19">
        <f t="shared" si="14"/>
        <v>0</v>
      </c>
      <c r="W152" s="2"/>
      <c r="X152" s="2">
        <f t="shared" si="15"/>
        <v>0</v>
      </c>
      <c r="Y152" s="2"/>
      <c r="Z152" s="19">
        <f t="shared" si="16"/>
        <v>0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10"/>
      <c r="B154" s="28" t="s">
        <v>108</v>
      </c>
      <c r="C154" s="28"/>
      <c r="D154" s="21">
        <f>D12-D102</f>
        <v>395094.12</v>
      </c>
      <c r="E154" s="14"/>
      <c r="F154" s="20">
        <f>IF(D$12=0,0,D154/D$12)</f>
        <v>0.38038363863883018</v>
      </c>
      <c r="G154" s="14"/>
      <c r="H154" s="21">
        <f>H12-H102</f>
        <v>729599</v>
      </c>
      <c r="I154" s="14"/>
      <c r="J154" s="20">
        <f>IF(H$12=0,0,H154/H$12)</f>
        <v>0.52298341804825699</v>
      </c>
      <c r="K154" s="16"/>
      <c r="L154" s="21">
        <f>+D154-H154</f>
        <v>-334504.88</v>
      </c>
      <c r="M154" s="16"/>
      <c r="N154" s="20">
        <f>IF(H154=0,0,L154/H154)</f>
        <v>-0.45847771172931984</v>
      </c>
      <c r="O154" s="29"/>
      <c r="P154" s="21">
        <f>P12-P102</f>
        <v>3367902.540000001</v>
      </c>
      <c r="Q154" s="14"/>
      <c r="R154" s="20">
        <f>IF(P$12=0,0,P154/P$12)</f>
        <v>0.37405240235971038</v>
      </c>
      <c r="S154" s="14"/>
      <c r="T154" s="21">
        <f>T12-T102</f>
        <v>7426372</v>
      </c>
      <c r="U154" s="14"/>
      <c r="V154" s="20">
        <f>IF(T$12=0,0,T154/T$12)</f>
        <v>0.48757657887685868</v>
      </c>
      <c r="W154" s="16"/>
      <c r="X154" s="21">
        <f>+P154-T154</f>
        <v>-4058469.459999999</v>
      </c>
      <c r="Y154" s="16"/>
      <c r="Z154" s="20">
        <f>IF(T154=0,0,X154/T154)</f>
        <v>-0.54649423163827493</v>
      </c>
    </row>
    <row r="155" spans="1:26" x14ac:dyDescent="0.25">
      <c r="A155" s="9"/>
      <c r="B155" s="10"/>
      <c r="C155" s="9"/>
      <c r="D155" s="1"/>
      <c r="E155" s="1"/>
      <c r="F155" s="5"/>
      <c r="G155" s="1"/>
      <c r="H155" s="1"/>
      <c r="I155" s="1"/>
      <c r="J155" s="5"/>
      <c r="K155" s="1"/>
      <c r="L155" s="1"/>
      <c r="M155" s="1"/>
      <c r="N155" s="5"/>
      <c r="O155" s="36"/>
      <c r="P155" s="1"/>
      <c r="Q155" s="1"/>
      <c r="R155" s="5"/>
      <c r="S155" s="1"/>
      <c r="T155" s="1"/>
      <c r="U155" s="1"/>
      <c r="V155" s="5"/>
      <c r="W155" s="1"/>
      <c r="X155" s="1"/>
      <c r="Y155" s="1"/>
      <c r="Z155" s="5"/>
    </row>
    <row r="156" spans="1:26" s="23" customFormat="1" x14ac:dyDescent="0.25">
      <c r="A156" s="10"/>
      <c r="B156" s="29" t="s">
        <v>295</v>
      </c>
      <c r="C156" s="10"/>
      <c r="D156" s="22">
        <f>SUM(OSRRefD22x_0)</f>
        <v>672522.08</v>
      </c>
      <c r="E156" s="22"/>
      <c r="F156" s="32">
        <f t="shared" ref="F156:F167" si="17">IF(D$12=0,0,D156/D$12)</f>
        <v>0.64748216413687565</v>
      </c>
      <c r="G156" s="22"/>
      <c r="H156" s="22">
        <f>SUM(OSRRefH22x_0)</f>
        <v>1045019.6201280983</v>
      </c>
      <c r="I156" s="22"/>
      <c r="J156" s="32">
        <f t="shared" ref="J156:J167" si="18">IF(H$12=0,0,H156/H$12)</f>
        <v>0.74907988204765086</v>
      </c>
      <c r="K156" s="4"/>
      <c r="L156" s="22">
        <f t="shared" ref="L156:L167" si="19">+D156-H156</f>
        <v>-372497.54012809834</v>
      </c>
      <c r="M156" s="4"/>
      <c r="N156" s="32">
        <f t="shared" ref="N156:N167" si="20">IF(H156=0,0,L156/H156)</f>
        <v>-0.35645028375872756</v>
      </c>
      <c r="O156" s="10"/>
      <c r="P156" s="22">
        <f>SUM(OSRRefP22x_0)</f>
        <v>6778754.4299999997</v>
      </c>
      <c r="Q156" s="22"/>
      <c r="R156" s="32">
        <f t="shared" ref="R156:R167" si="21">IF(P$12=0,0,P156/P$12)</f>
        <v>0.75287492717886917</v>
      </c>
      <c r="S156" s="22"/>
      <c r="T156" s="22">
        <f>SUM(OSRRefT22x_0)</f>
        <v>9783978.5747230463</v>
      </c>
      <c r="U156" s="22"/>
      <c r="V156" s="32">
        <f t="shared" ref="V156:V167" si="22">IF(T$12=0,0,T156/T$12)</f>
        <v>0.64236464336393961</v>
      </c>
      <c r="W156" s="4"/>
      <c r="X156" s="22">
        <f t="shared" ref="X156:X167" si="23">+P156-T156</f>
        <v>-3005224.1447230466</v>
      </c>
      <c r="Y156" s="4"/>
      <c r="Z156" s="32">
        <f t="shared" ref="Z156:Z167" si="24">IF(T156=0,0,X156/T156)</f>
        <v>-0.30715767842000974</v>
      </c>
    </row>
    <row r="157" spans="1:26" s="25" customFormat="1" outlineLevel="1" collapsed="1" x14ac:dyDescent="0.25">
      <c r="A157" s="27"/>
      <c r="B157" s="13" t="str">
        <f>CONCATENATE("     ","*Benefits                                         ")</f>
        <v xml:space="preserve">     *Benefits                                         </v>
      </c>
      <c r="C157" s="13"/>
      <c r="D157" s="1">
        <f>SUM(OSRRefD22_0x_0)</f>
        <v>166236.45000000001</v>
      </c>
      <c r="E157" s="1"/>
      <c r="F157" s="5">
        <f t="shared" si="17"/>
        <v>0.16004699266443642</v>
      </c>
      <c r="G157" s="1"/>
      <c r="H157" s="1">
        <f>SUM(OSRRefH22_0x_0)</f>
        <v>196120.08439514958</v>
      </c>
      <c r="I157" s="1"/>
      <c r="J157" s="5">
        <f t="shared" si="18"/>
        <v>0.14058071911404479</v>
      </c>
      <c r="K157" s="1"/>
      <c r="L157" s="1">
        <f t="shared" si="19"/>
        <v>-29883.634395149566</v>
      </c>
      <c r="M157" s="1"/>
      <c r="N157" s="5">
        <f t="shared" si="20"/>
        <v>-0.1523741665077962</v>
      </c>
      <c r="O157" s="13"/>
      <c r="P157" s="1">
        <f>SUM(OSRRefP22_0x_0)</f>
        <v>1553457.0599999998</v>
      </c>
      <c r="Q157" s="1"/>
      <c r="R157" s="5">
        <f t="shared" si="21"/>
        <v>0.17253300484629006</v>
      </c>
      <c r="S157" s="1"/>
      <c r="T157" s="1">
        <f>SUM(OSRRefT22_0x_0)</f>
        <v>1789770.3333140952</v>
      </c>
      <c r="U157" s="1"/>
      <c r="V157" s="5">
        <f t="shared" si="22"/>
        <v>0.11750691940729358</v>
      </c>
      <c r="W157" s="1"/>
      <c r="X157" s="1">
        <f t="shared" si="23"/>
        <v>-236313.27331409534</v>
      </c>
      <c r="Y157" s="1"/>
      <c r="Z157" s="5">
        <f t="shared" si="24"/>
        <v>-0.13203552931650009</v>
      </c>
    </row>
    <row r="158" spans="1:26" s="24" customFormat="1" hidden="1" outlineLevel="2" x14ac:dyDescent="0.25">
      <c r="A158" s="26"/>
      <c r="B158" s="11" t="str">
        <f>CONCATENATE("          ", "6111", " - ", "F.I.C.A.")</f>
        <v xml:space="preserve">          6111 - F.I.C.A.</v>
      </c>
      <c r="C158" s="11"/>
      <c r="D158" s="7">
        <v>27233.31</v>
      </c>
      <c r="E158" s="2"/>
      <c r="F158" s="6">
        <f t="shared" si="17"/>
        <v>2.6219336167238431E-2</v>
      </c>
      <c r="G158" s="2"/>
      <c r="H158" s="7">
        <v>25336.5400847077</v>
      </c>
      <c r="I158" s="2"/>
      <c r="J158" s="6">
        <f t="shared" si="18"/>
        <v>1.8161469978737785E-2</v>
      </c>
      <c r="K158" s="2"/>
      <c r="L158" s="7">
        <f t="shared" si="19"/>
        <v>1896.7699152923014</v>
      </c>
      <c r="M158" s="2"/>
      <c r="N158" s="6">
        <f t="shared" si="20"/>
        <v>7.4863020323644322E-2</v>
      </c>
      <c r="O158" s="11"/>
      <c r="P158" s="7">
        <v>216662.28</v>
      </c>
      <c r="Q158" s="2"/>
      <c r="R158" s="6">
        <f t="shared" si="21"/>
        <v>2.4063358536120884E-2</v>
      </c>
      <c r="S158" s="2"/>
      <c r="T158" s="7">
        <v>233938.973892193</v>
      </c>
      <c r="U158" s="2"/>
      <c r="V158" s="6">
        <f t="shared" si="22"/>
        <v>1.5359204273138784E-2</v>
      </c>
      <c r="W158" s="2"/>
      <c r="X158" s="7">
        <f t="shared" si="23"/>
        <v>-17276.693892192998</v>
      </c>
      <c r="Y158" s="2"/>
      <c r="Z158" s="6">
        <f t="shared" si="24"/>
        <v>-7.3851285250805129E-2</v>
      </c>
    </row>
    <row r="159" spans="1:26" s="24" customFormat="1" hidden="1" outlineLevel="2" x14ac:dyDescent="0.25">
      <c r="A159" s="26"/>
      <c r="B159" s="11" t="str">
        <f>CONCATENATE("          ", "6112", " - ", "COMPENSATION INSURANCE")</f>
        <v xml:space="preserve">          6112 - COMPENSATION INSURANCE</v>
      </c>
      <c r="C159" s="11"/>
      <c r="D159" s="7">
        <v>6829.3</v>
      </c>
      <c r="E159" s="2"/>
      <c r="F159" s="6">
        <f t="shared" si="17"/>
        <v>6.5750256757963468E-3</v>
      </c>
      <c r="G159" s="2"/>
      <c r="H159" s="7">
        <v>14655.3150585731</v>
      </c>
      <c r="I159" s="2"/>
      <c r="J159" s="6">
        <f t="shared" si="18"/>
        <v>1.0505067526006275E-2</v>
      </c>
      <c r="K159" s="2"/>
      <c r="L159" s="7">
        <f t="shared" si="19"/>
        <v>-7826.0150585730999</v>
      </c>
      <c r="M159" s="2"/>
      <c r="N159" s="6">
        <f t="shared" si="20"/>
        <v>-0.53400524159970342</v>
      </c>
      <c r="O159" s="11"/>
      <c r="P159" s="7">
        <v>80515.63</v>
      </c>
      <c r="Q159" s="2"/>
      <c r="R159" s="6">
        <f t="shared" si="21"/>
        <v>8.9423801524273205E-3</v>
      </c>
      <c r="S159" s="2"/>
      <c r="T159" s="7">
        <v>126730.329678298</v>
      </c>
      <c r="U159" s="2"/>
      <c r="V159" s="6">
        <f t="shared" si="22"/>
        <v>8.3204478020332089E-3</v>
      </c>
      <c r="W159" s="2"/>
      <c r="X159" s="7">
        <f t="shared" si="23"/>
        <v>-46214.699678297999</v>
      </c>
      <c r="Y159" s="2"/>
      <c r="Z159" s="6">
        <f t="shared" si="24"/>
        <v>-0.36466960825883543</v>
      </c>
    </row>
    <row r="160" spans="1:26" s="24" customFormat="1" hidden="1" outlineLevel="2" x14ac:dyDescent="0.25">
      <c r="A160" s="26"/>
      <c r="B160" s="11" t="str">
        <f>CONCATENATE("          ", "6113", " - ", "GROUP INSURANCE")</f>
        <v xml:space="preserve">          6113 - GROUP INSURANCE</v>
      </c>
      <c r="C160" s="11"/>
      <c r="D160" s="7">
        <v>73954.740000000005</v>
      </c>
      <c r="E160" s="2"/>
      <c r="F160" s="6">
        <f t="shared" si="17"/>
        <v>7.1201194023815501E-2</v>
      </c>
      <c r="G160" s="2"/>
      <c r="H160" s="7">
        <v>101881.538461538</v>
      </c>
      <c r="I160" s="2"/>
      <c r="J160" s="6">
        <f t="shared" si="18"/>
        <v>7.3029643983380063E-2</v>
      </c>
      <c r="K160" s="2"/>
      <c r="L160" s="7">
        <f t="shared" si="19"/>
        <v>-27926.798461537997</v>
      </c>
      <c r="M160" s="2"/>
      <c r="N160" s="6">
        <f t="shared" si="20"/>
        <v>-0.27411049031302992</v>
      </c>
      <c r="O160" s="11"/>
      <c r="P160" s="7">
        <v>749441.26</v>
      </c>
      <c r="Q160" s="2"/>
      <c r="R160" s="6">
        <f t="shared" si="21"/>
        <v>8.3235871703843389E-2</v>
      </c>
      <c r="S160" s="2"/>
      <c r="T160" s="7">
        <v>947058.92307692301</v>
      </c>
      <c r="U160" s="2"/>
      <c r="V160" s="6">
        <f t="shared" si="22"/>
        <v>6.2178914510160305E-2</v>
      </c>
      <c r="W160" s="2"/>
      <c r="X160" s="7">
        <f t="shared" si="23"/>
        <v>-197617.663076923</v>
      </c>
      <c r="Y160" s="2"/>
      <c r="Z160" s="6">
        <f t="shared" si="24"/>
        <v>-0.20866459125360237</v>
      </c>
    </row>
    <row r="161" spans="1:26" s="24" customFormat="1" hidden="1" outlineLevel="2" x14ac:dyDescent="0.25">
      <c r="A161" s="26"/>
      <c r="B161" s="11" t="str">
        <f>CONCATENATE("          ", "6114", " - ", "STATE UNEMPLOYMENT INSURANCE")</f>
        <v xml:space="preserve">          6114 - STATE UNEMPLOYMENT INSURANCE</v>
      </c>
      <c r="C161" s="11"/>
      <c r="D161" s="7">
        <v>680.57</v>
      </c>
      <c r="E161" s="2"/>
      <c r="F161" s="6">
        <f t="shared" si="17"/>
        <v>6.5523043711313315E-4</v>
      </c>
      <c r="G161" s="2"/>
      <c r="H161" s="7">
        <v>1313.6962561</v>
      </c>
      <c r="I161" s="2"/>
      <c r="J161" s="6">
        <f t="shared" si="18"/>
        <v>9.4166981902713194E-4</v>
      </c>
      <c r="K161" s="2"/>
      <c r="L161" s="7">
        <f t="shared" si="19"/>
        <v>-633.12625609999998</v>
      </c>
      <c r="M161" s="2"/>
      <c r="N161" s="6">
        <f t="shared" si="20"/>
        <v>-0.48194265086784693</v>
      </c>
      <c r="O161" s="11"/>
      <c r="P161" s="7">
        <v>8210.52</v>
      </c>
      <c r="Q161" s="2"/>
      <c r="R161" s="6">
        <f t="shared" si="21"/>
        <v>9.1189240013532242E-4</v>
      </c>
      <c r="S161" s="2"/>
      <c r="T161" s="7">
        <v>11468.50961895</v>
      </c>
      <c r="U161" s="2"/>
      <c r="V161" s="6">
        <f t="shared" si="22"/>
        <v>7.5296210381381207E-4</v>
      </c>
      <c r="W161" s="2"/>
      <c r="X161" s="7">
        <f t="shared" si="23"/>
        <v>-3257.9896189499996</v>
      </c>
      <c r="Y161" s="2"/>
      <c r="Z161" s="6">
        <f t="shared" si="24"/>
        <v>-0.28408134336537139</v>
      </c>
    </row>
    <row r="162" spans="1:26" s="24" customFormat="1" hidden="1" outlineLevel="2" x14ac:dyDescent="0.25">
      <c r="A162" s="26"/>
      <c r="B162" s="11" t="str">
        <f>CONCATENATE("          ", "6115", " - ", "P.E.R.S.")</f>
        <v xml:space="preserve">          6115 - P.E.R.S.</v>
      </c>
      <c r="C162" s="11"/>
      <c r="D162" s="7">
        <v>13304.87</v>
      </c>
      <c r="E162" s="2"/>
      <c r="F162" s="6">
        <f t="shared" si="17"/>
        <v>1.2809491728747097E-2</v>
      </c>
      <c r="G162" s="2"/>
      <c r="H162" s="7">
        <v>15438.131098461599</v>
      </c>
      <c r="I162" s="2"/>
      <c r="J162" s="6">
        <f t="shared" si="18"/>
        <v>1.1066197418240074E-2</v>
      </c>
      <c r="K162" s="2"/>
      <c r="L162" s="7">
        <f t="shared" si="19"/>
        <v>-2133.2610984615985</v>
      </c>
      <c r="M162" s="2"/>
      <c r="N162" s="6">
        <f t="shared" si="20"/>
        <v>-0.13818130477426616</v>
      </c>
      <c r="O162" s="11"/>
      <c r="P162" s="7">
        <v>155682.10999999999</v>
      </c>
      <c r="Q162" s="2"/>
      <c r="R162" s="6">
        <f t="shared" si="21"/>
        <v>1.7290662825988033E-2</v>
      </c>
      <c r="S162" s="2"/>
      <c r="T162" s="7">
        <v>135609.26497446201</v>
      </c>
      <c r="U162" s="2"/>
      <c r="V162" s="6">
        <f t="shared" si="22"/>
        <v>8.9033920574209859E-3</v>
      </c>
      <c r="W162" s="2"/>
      <c r="X162" s="7">
        <f t="shared" si="23"/>
        <v>20072.845025537972</v>
      </c>
      <c r="Y162" s="2"/>
      <c r="Z162" s="6">
        <f t="shared" si="24"/>
        <v>0.14801971701061942</v>
      </c>
    </row>
    <row r="163" spans="1:26" s="24" customFormat="1" hidden="1" outlineLevel="2" x14ac:dyDescent="0.25">
      <c r="A163" s="26"/>
      <c r="B163" s="11" t="str">
        <f>CONCATENATE("          ", "6116", " - ", "EDUCATIONAL BENEFITS")</f>
        <v xml:space="preserve">          6116 - EDUCATIONAL BENEFITS</v>
      </c>
      <c r="C163" s="11"/>
      <c r="D163" s="7"/>
      <c r="E163" s="2"/>
      <c r="F163" s="6">
        <f t="shared" si="17"/>
        <v>0</v>
      </c>
      <c r="G163" s="2"/>
      <c r="H163" s="7">
        <v>0</v>
      </c>
      <c r="I163" s="2"/>
      <c r="J163" s="6">
        <f t="shared" si="18"/>
        <v>0</v>
      </c>
      <c r="K163" s="2"/>
      <c r="L163" s="7">
        <f t="shared" si="19"/>
        <v>0</v>
      </c>
      <c r="M163" s="2"/>
      <c r="N163" s="6">
        <f t="shared" si="20"/>
        <v>0</v>
      </c>
      <c r="O163" s="11"/>
      <c r="P163" s="7">
        <v>0</v>
      </c>
      <c r="Q163" s="2"/>
      <c r="R163" s="6">
        <f t="shared" si="21"/>
        <v>0</v>
      </c>
      <c r="S163" s="2"/>
      <c r="T163" s="7">
        <v>0</v>
      </c>
      <c r="U163" s="2"/>
      <c r="V163" s="6">
        <f t="shared" si="22"/>
        <v>0</v>
      </c>
      <c r="W163" s="2"/>
      <c r="X163" s="7">
        <f t="shared" si="23"/>
        <v>0</v>
      </c>
      <c r="Y163" s="2"/>
      <c r="Z163" s="6">
        <f t="shared" si="24"/>
        <v>0</v>
      </c>
    </row>
    <row r="164" spans="1:26" s="24" customFormat="1" hidden="1" outlineLevel="2" x14ac:dyDescent="0.25">
      <c r="A164" s="26"/>
      <c r="B164" s="11" t="str">
        <f>CONCATENATE("          ", "6117", " - ", "RETIREMENT STAFF HOURLY")</f>
        <v xml:space="preserve">          6117 - RETIREMENT STAFF HOURLY</v>
      </c>
      <c r="C164" s="11"/>
      <c r="D164" s="7">
        <v>2018.25</v>
      </c>
      <c r="E164" s="2"/>
      <c r="F164" s="6">
        <f t="shared" si="17"/>
        <v>1.9431047940749384E-3</v>
      </c>
      <c r="G164" s="2"/>
      <c r="H164" s="7"/>
      <c r="I164" s="2"/>
      <c r="J164" s="6">
        <f t="shared" si="18"/>
        <v>0</v>
      </c>
      <c r="K164" s="2"/>
      <c r="L164" s="7">
        <f t="shared" si="19"/>
        <v>2018.25</v>
      </c>
      <c r="M164" s="2"/>
      <c r="N164" s="6">
        <f t="shared" si="20"/>
        <v>0</v>
      </c>
      <c r="O164" s="11"/>
      <c r="P164" s="7">
        <v>21949.25</v>
      </c>
      <c r="Q164" s="2"/>
      <c r="R164" s="6">
        <f t="shared" si="21"/>
        <v>2.4377693816798724E-3</v>
      </c>
      <c r="S164" s="2"/>
      <c r="T164" s="7"/>
      <c r="U164" s="2"/>
      <c r="V164" s="6">
        <f t="shared" si="22"/>
        <v>0</v>
      </c>
      <c r="W164" s="2"/>
      <c r="X164" s="7">
        <f t="shared" si="23"/>
        <v>21949.25</v>
      </c>
      <c r="Y164" s="2"/>
      <c r="Z164" s="6">
        <f t="shared" si="24"/>
        <v>0</v>
      </c>
    </row>
    <row r="165" spans="1:26" s="24" customFormat="1" hidden="1" outlineLevel="2" x14ac:dyDescent="0.25">
      <c r="A165" s="26"/>
      <c r="B165" s="11" t="str">
        <f>CONCATENATE("          ", "6118", " - ", "VACATION")</f>
        <v xml:space="preserve">          6118 - VACATION</v>
      </c>
      <c r="C165" s="11"/>
      <c r="D165" s="7">
        <v>22536.1</v>
      </c>
      <c r="E165" s="2"/>
      <c r="F165" s="6">
        <f t="shared" si="17"/>
        <v>2.1697016697511319E-2</v>
      </c>
      <c r="G165" s="2"/>
      <c r="H165" s="7">
        <v>16301.048803846101</v>
      </c>
      <c r="I165" s="2"/>
      <c r="J165" s="6">
        <f t="shared" si="18"/>
        <v>1.1684744936885722E-2</v>
      </c>
      <c r="K165" s="2"/>
      <c r="L165" s="7">
        <f t="shared" si="19"/>
        <v>6235.0511961538978</v>
      </c>
      <c r="M165" s="2"/>
      <c r="N165" s="6">
        <f t="shared" si="20"/>
        <v>0.3824938671849622</v>
      </c>
      <c r="O165" s="11"/>
      <c r="P165" s="7">
        <v>163671.79999999999</v>
      </c>
      <c r="Q165" s="2"/>
      <c r="R165" s="6">
        <f t="shared" si="21"/>
        <v>1.8178028984335761E-2</v>
      </c>
      <c r="S165" s="2"/>
      <c r="T165" s="7">
        <v>143099.27087384599</v>
      </c>
      <c r="U165" s="2"/>
      <c r="V165" s="6">
        <f t="shared" si="22"/>
        <v>9.3951465038975609E-3</v>
      </c>
      <c r="W165" s="2"/>
      <c r="X165" s="7">
        <f t="shared" si="23"/>
        <v>20572.529126153997</v>
      </c>
      <c r="Y165" s="2"/>
      <c r="Z165" s="6">
        <f t="shared" si="24"/>
        <v>0.14376403877201027</v>
      </c>
    </row>
    <row r="166" spans="1:26" s="24" customFormat="1" hidden="1" outlineLevel="2" x14ac:dyDescent="0.25">
      <c r="A166" s="26"/>
      <c r="B166" s="11" t="str">
        <f>CONCATENATE("          ", "6119", " - ", "SICK LEAVE")</f>
        <v xml:space="preserve">          6119 - SICK LEAVE</v>
      </c>
      <c r="C166" s="11"/>
      <c r="D166" s="7">
        <v>14773.83</v>
      </c>
      <c r="E166" s="2"/>
      <c r="F166" s="6">
        <f t="shared" si="17"/>
        <v>1.4223758156743786E-2</v>
      </c>
      <c r="G166" s="2"/>
      <c r="H166" s="7">
        <v>14843.8146319231</v>
      </c>
      <c r="I166" s="2"/>
      <c r="J166" s="6">
        <f t="shared" si="18"/>
        <v>1.0640185791205681E-2</v>
      </c>
      <c r="K166" s="2"/>
      <c r="L166" s="7">
        <f t="shared" si="19"/>
        <v>-69.984631923100096</v>
      </c>
      <c r="M166" s="2"/>
      <c r="N166" s="6">
        <f t="shared" si="20"/>
        <v>-4.7147336219485782E-3</v>
      </c>
      <c r="O166" s="11"/>
      <c r="P166" s="7">
        <v>110264.12</v>
      </c>
      <c r="Q166" s="2"/>
      <c r="R166" s="6">
        <f t="shared" si="21"/>
        <v>1.2246363572052586E-2</v>
      </c>
      <c r="S166" s="2"/>
      <c r="T166" s="7">
        <v>128365.061199423</v>
      </c>
      <c r="U166" s="2"/>
      <c r="V166" s="6">
        <f t="shared" si="22"/>
        <v>8.4277756873656819E-3</v>
      </c>
      <c r="W166" s="2"/>
      <c r="X166" s="7">
        <f t="shared" si="23"/>
        <v>-18100.941199423003</v>
      </c>
      <c r="Y166" s="2"/>
      <c r="Z166" s="6">
        <f t="shared" si="24"/>
        <v>-0.14101143278623207</v>
      </c>
    </row>
    <row r="167" spans="1:26" s="24" customFormat="1" hidden="1" outlineLevel="2" x14ac:dyDescent="0.25">
      <c r="A167" s="26"/>
      <c r="B167" s="11" t="str">
        <f>CONCATENATE("          ", "6156", " - ", "EMPLOYEE MEALS")</f>
        <v xml:space="preserve">          6156 - EMPLOYEE MEALS</v>
      </c>
      <c r="C167" s="11"/>
      <c r="D167" s="7">
        <v>4905.4799999999996</v>
      </c>
      <c r="E167" s="2"/>
      <c r="F167" s="6">
        <f t="shared" si="17"/>
        <v>4.7228349833958764E-3</v>
      </c>
      <c r="G167" s="2"/>
      <c r="H167" s="7">
        <v>6350</v>
      </c>
      <c r="I167" s="2"/>
      <c r="J167" s="6">
        <f t="shared" si="18"/>
        <v>4.551739660562079E-3</v>
      </c>
      <c r="K167" s="2"/>
      <c r="L167" s="7">
        <f t="shared" si="19"/>
        <v>-1444.5200000000004</v>
      </c>
      <c r="M167" s="2"/>
      <c r="N167" s="6">
        <f t="shared" si="20"/>
        <v>-0.22748346456692919</v>
      </c>
      <c r="O167" s="11"/>
      <c r="P167" s="7">
        <v>47060.09</v>
      </c>
      <c r="Q167" s="2"/>
      <c r="R167" s="6">
        <f t="shared" si="21"/>
        <v>5.2266772897068981E-3</v>
      </c>
      <c r="S167" s="2"/>
      <c r="T167" s="7">
        <v>63500</v>
      </c>
      <c r="U167" s="2"/>
      <c r="V167" s="6">
        <f t="shared" si="22"/>
        <v>4.1690764694632216E-3</v>
      </c>
      <c r="W167" s="2"/>
      <c r="X167" s="7">
        <f t="shared" si="23"/>
        <v>-16439.910000000003</v>
      </c>
      <c r="Y167" s="2"/>
      <c r="Z167" s="6">
        <f t="shared" si="24"/>
        <v>-0.25889622047244099</v>
      </c>
    </row>
    <row r="168" spans="1:26" s="25" customFormat="1" outlineLevel="1" collapsed="1" x14ac:dyDescent="0.25">
      <c r="A168" s="27"/>
      <c r="B168" s="13" t="str">
        <f>CONCATENATE("     ","*Payroll                                          ")</f>
        <v xml:space="preserve">     *Payroll                                          </v>
      </c>
      <c r="C168" s="13"/>
      <c r="D168" s="1">
        <f>SUM(OSRRefD22_1x_0)</f>
        <v>295171.22000000003</v>
      </c>
      <c r="E168" s="1"/>
      <c r="F168" s="5">
        <f t="shared" ref="F168:F178" si="25">IF(D$12=0,0,D168/D$12)</f>
        <v>0.28418115330357907</v>
      </c>
      <c r="G168" s="1"/>
      <c r="H168" s="1">
        <f>SUM(OSRRefH22_1x_0)</f>
        <v>470518.20239961543</v>
      </c>
      <c r="I168" s="1"/>
      <c r="J168" s="5">
        <f t="shared" ref="J168:J178" si="26">IF(H$12=0,0,H168/H$12)</f>
        <v>0.33727186816987481</v>
      </c>
      <c r="K168" s="1"/>
      <c r="L168" s="1">
        <f t="shared" ref="L168:L178" si="27">+D168-H168</f>
        <v>-175346.9823996154</v>
      </c>
      <c r="M168" s="1"/>
      <c r="N168" s="5">
        <f t="shared" ref="N168:N178" si="28">IF(H168=0,0,L168/H168)</f>
        <v>-0.37266779798391647</v>
      </c>
      <c r="O168" s="13"/>
      <c r="P168" s="1">
        <f>SUM(OSRRefP22_1x_0)</f>
        <v>2874378.25</v>
      </c>
      <c r="Q168" s="1"/>
      <c r="R168" s="5">
        <f t="shared" ref="R168:R178" si="29">IF(P$12=0,0,P168/P$12)</f>
        <v>0.31923966829010436</v>
      </c>
      <c r="S168" s="1"/>
      <c r="T168" s="1">
        <f>SUM(OSRRefT22_1x_0)</f>
        <v>4111422.9080756176</v>
      </c>
      <c r="U168" s="1"/>
      <c r="V168" s="5">
        <f t="shared" ref="V168:V178" si="30">IF(T$12=0,0,T168/T$12)</f>
        <v>0.26993443310346626</v>
      </c>
      <c r="W168" s="1"/>
      <c r="X168" s="1">
        <f t="shared" ref="X168:X178" si="31">+P168-T168</f>
        <v>-1237044.6580756176</v>
      </c>
      <c r="Y168" s="1"/>
      <c r="Z168" s="5">
        <f t="shared" ref="Z168:Z178" si="32">IF(T168=0,0,X168/T168)</f>
        <v>-0.30087993517909001</v>
      </c>
    </row>
    <row r="169" spans="1:26" s="24" customFormat="1" hidden="1" outlineLevel="2" x14ac:dyDescent="0.25">
      <c r="A169" s="26"/>
      <c r="B169" s="11" t="str">
        <f>CONCATENATE("          ", "6001", " - ", "ADMINISTRATIVE SALARIES")</f>
        <v xml:space="preserve">          6001 - ADMINISTRATIVE SALARIES</v>
      </c>
      <c r="C169" s="11"/>
      <c r="D169" s="7">
        <v>31629.19</v>
      </c>
      <c r="E169" s="2"/>
      <c r="F169" s="6">
        <f t="shared" si="25"/>
        <v>3.0451545012613452E-2</v>
      </c>
      <c r="G169" s="2"/>
      <c r="H169" s="7">
        <v>33786.163461538403</v>
      </c>
      <c r="I169" s="2"/>
      <c r="J169" s="6">
        <f t="shared" si="26"/>
        <v>2.4218239402538224E-2</v>
      </c>
      <c r="K169" s="2"/>
      <c r="L169" s="7">
        <f t="shared" si="27"/>
        <v>-2156.9734615384041</v>
      </c>
      <c r="M169" s="2"/>
      <c r="N169" s="6">
        <f t="shared" si="28"/>
        <v>-6.3841917535084031E-2</v>
      </c>
      <c r="O169" s="11"/>
      <c r="P169" s="7">
        <v>289152.71999999997</v>
      </c>
      <c r="Q169" s="2"/>
      <c r="R169" s="6">
        <f t="shared" si="29"/>
        <v>3.2114429761629815E-2</v>
      </c>
      <c r="S169" s="2"/>
      <c r="T169" s="7">
        <v>297318.23846153799</v>
      </c>
      <c r="U169" s="2"/>
      <c r="V169" s="6">
        <f t="shared" si="30"/>
        <v>1.9520353888381938E-2</v>
      </c>
      <c r="W169" s="2"/>
      <c r="X169" s="7">
        <f t="shared" si="31"/>
        <v>-8165.5184615380131</v>
      </c>
      <c r="Y169" s="2"/>
      <c r="Z169" s="6">
        <f t="shared" si="32"/>
        <v>-2.746390031028766E-2</v>
      </c>
    </row>
    <row r="170" spans="1:26" s="24" customFormat="1" hidden="1" outlineLevel="2" x14ac:dyDescent="0.25">
      <c r="A170" s="26"/>
      <c r="B170" s="11" t="str">
        <f>CONCATENATE("          ", "6002", " - ", "STAFF SALARIES")</f>
        <v xml:space="preserve">          6002 - STAFF SALARIES</v>
      </c>
      <c r="C170" s="11"/>
      <c r="D170" s="7">
        <v>118725.46</v>
      </c>
      <c r="E170" s="2"/>
      <c r="F170" s="6">
        <f t="shared" si="25"/>
        <v>0.11430497237941402</v>
      </c>
      <c r="G170" s="2"/>
      <c r="H170" s="7">
        <v>128633.289493077</v>
      </c>
      <c r="I170" s="2"/>
      <c r="J170" s="6">
        <f t="shared" si="26"/>
        <v>9.2205550465228645E-2</v>
      </c>
      <c r="K170" s="2"/>
      <c r="L170" s="7">
        <f t="shared" si="27"/>
        <v>-9907.8294930769916</v>
      </c>
      <c r="M170" s="2"/>
      <c r="N170" s="6">
        <f t="shared" si="28"/>
        <v>-7.7023836769798446E-2</v>
      </c>
      <c r="O170" s="11"/>
      <c r="P170" s="7">
        <v>1130003.1499999999</v>
      </c>
      <c r="Q170" s="2"/>
      <c r="R170" s="6">
        <f t="shared" si="29"/>
        <v>0.12550256069213334</v>
      </c>
      <c r="S170" s="2"/>
      <c r="T170" s="7">
        <v>1129538.1514890799</v>
      </c>
      <c r="U170" s="2"/>
      <c r="V170" s="6">
        <f t="shared" si="30"/>
        <v>7.4159542184789096E-2</v>
      </c>
      <c r="W170" s="2"/>
      <c r="X170" s="7">
        <f t="shared" si="31"/>
        <v>464.99851091997698</v>
      </c>
      <c r="Y170" s="2"/>
      <c r="Z170" s="6">
        <f t="shared" si="32"/>
        <v>4.11671363474501E-4</v>
      </c>
    </row>
    <row r="171" spans="1:26" s="24" customFormat="1" hidden="1" outlineLevel="2" x14ac:dyDescent="0.25">
      <c r="A171" s="26"/>
      <c r="B171" s="11" t="str">
        <f>CONCATENATE("          ", "6003", " - ", "STAFF HOURLY-9 MONTH")</f>
        <v xml:space="preserve">          6003 - STAFF HOURLY-9 MONTH</v>
      </c>
      <c r="C171" s="11"/>
      <c r="D171" s="7"/>
      <c r="E171" s="2"/>
      <c r="F171" s="6">
        <f t="shared" si="25"/>
        <v>0</v>
      </c>
      <c r="G171" s="2"/>
      <c r="H171" s="7">
        <v>0</v>
      </c>
      <c r="I171" s="2"/>
      <c r="J171" s="6">
        <f t="shared" si="26"/>
        <v>0</v>
      </c>
      <c r="K171" s="2"/>
      <c r="L171" s="7">
        <f t="shared" si="27"/>
        <v>0</v>
      </c>
      <c r="M171" s="2"/>
      <c r="N171" s="6">
        <f t="shared" si="28"/>
        <v>0</v>
      </c>
      <c r="O171" s="11"/>
      <c r="P171" s="7"/>
      <c r="Q171" s="2"/>
      <c r="R171" s="6">
        <f t="shared" si="29"/>
        <v>0</v>
      </c>
      <c r="S171" s="2"/>
      <c r="T171" s="7">
        <v>0</v>
      </c>
      <c r="U171" s="2"/>
      <c r="V171" s="6">
        <f t="shared" si="30"/>
        <v>0</v>
      </c>
      <c r="W171" s="2"/>
      <c r="X171" s="7">
        <f t="shared" si="31"/>
        <v>0</v>
      </c>
      <c r="Y171" s="2"/>
      <c r="Z171" s="6">
        <f t="shared" si="32"/>
        <v>0</v>
      </c>
    </row>
    <row r="172" spans="1:26" s="24" customFormat="1" hidden="1" outlineLevel="2" x14ac:dyDescent="0.25">
      <c r="A172" s="26"/>
      <c r="B172" s="11" t="str">
        <f>CONCATENATE("          ", "6004", " - ", "STAFF HOURLY")</f>
        <v xml:space="preserve">          6004 - STAFF HOURLY</v>
      </c>
      <c r="C172" s="11"/>
      <c r="D172" s="7">
        <v>92670.57</v>
      </c>
      <c r="E172" s="2"/>
      <c r="F172" s="6">
        <f t="shared" si="25"/>
        <v>8.9220180273334407E-2</v>
      </c>
      <c r="G172" s="2"/>
      <c r="H172" s="7">
        <v>139582.87349999999</v>
      </c>
      <c r="I172" s="2"/>
      <c r="J172" s="6">
        <f t="shared" si="26"/>
        <v>0.10005431515671961</v>
      </c>
      <c r="K172" s="2"/>
      <c r="L172" s="7">
        <f t="shared" si="27"/>
        <v>-46912.30349999998</v>
      </c>
      <c r="M172" s="2"/>
      <c r="N172" s="6">
        <f t="shared" si="28"/>
        <v>-0.33608925166596448</v>
      </c>
      <c r="O172" s="11"/>
      <c r="P172" s="7">
        <v>682830.15</v>
      </c>
      <c r="Q172" s="2"/>
      <c r="R172" s="6">
        <f t="shared" si="29"/>
        <v>7.5837781817505126E-2</v>
      </c>
      <c r="S172" s="2"/>
      <c r="T172" s="7">
        <v>1177923.0545999999</v>
      </c>
      <c r="U172" s="2"/>
      <c r="V172" s="6">
        <f t="shared" si="30"/>
        <v>7.7336240783796875E-2</v>
      </c>
      <c r="W172" s="2"/>
      <c r="X172" s="7">
        <f t="shared" si="31"/>
        <v>-495092.90459999989</v>
      </c>
      <c r="Y172" s="2"/>
      <c r="Z172" s="6">
        <f t="shared" si="32"/>
        <v>-0.42031005562423934</v>
      </c>
    </row>
    <row r="173" spans="1:26" s="24" customFormat="1" hidden="1" outlineLevel="2" x14ac:dyDescent="0.25">
      <c r="A173" s="26"/>
      <c r="B173" s="11" t="str">
        <f>CONCATENATE("          ", "6005", " - ", "TEMPORARY WAGES-HOURLY")</f>
        <v xml:space="preserve">          6005 - TEMPORARY WAGES-HOURLY</v>
      </c>
      <c r="C173" s="11"/>
      <c r="D173" s="7">
        <v>33928.269999999997</v>
      </c>
      <c r="E173" s="2"/>
      <c r="F173" s="6">
        <f t="shared" si="25"/>
        <v>3.2665023704530609E-2</v>
      </c>
      <c r="G173" s="2"/>
      <c r="H173" s="7">
        <v>30556.520694999999</v>
      </c>
      <c r="I173" s="2"/>
      <c r="J173" s="6">
        <f t="shared" si="26"/>
        <v>2.1903201123813769E-2</v>
      </c>
      <c r="K173" s="2"/>
      <c r="L173" s="7">
        <f t="shared" si="27"/>
        <v>3371.7493049999975</v>
      </c>
      <c r="M173" s="2"/>
      <c r="N173" s="6">
        <f t="shared" si="28"/>
        <v>0.11034467368373262</v>
      </c>
      <c r="O173" s="11"/>
      <c r="P173" s="7">
        <v>322526.76</v>
      </c>
      <c r="Q173" s="2"/>
      <c r="R173" s="6">
        <f t="shared" si="29"/>
        <v>3.582108091622322E-2</v>
      </c>
      <c r="S173" s="2"/>
      <c r="T173" s="7">
        <v>204791.08940500001</v>
      </c>
      <c r="U173" s="2"/>
      <c r="V173" s="6">
        <f t="shared" si="30"/>
        <v>1.3445507275498023E-2</v>
      </c>
      <c r="W173" s="2"/>
      <c r="X173" s="7">
        <f t="shared" si="31"/>
        <v>117735.670595</v>
      </c>
      <c r="Y173" s="2"/>
      <c r="Z173" s="6">
        <f t="shared" si="32"/>
        <v>0.57490621753646221</v>
      </c>
    </row>
    <row r="174" spans="1:26" s="24" customFormat="1" hidden="1" outlineLevel="2" x14ac:dyDescent="0.25">
      <c r="A174" s="26"/>
      <c r="B174" s="11" t="str">
        <f>CONCATENATE("          ", "6006", " - ", "TEMPORARY PART TIME")</f>
        <v xml:space="preserve">          6006 - TEMPORARY PART TIME</v>
      </c>
      <c r="C174" s="11"/>
      <c r="D174" s="7">
        <v>3741.03</v>
      </c>
      <c r="E174" s="2"/>
      <c r="F174" s="6">
        <f t="shared" si="25"/>
        <v>3.6017407792781702E-3</v>
      </c>
      <c r="G174" s="2"/>
      <c r="H174" s="7">
        <v>0</v>
      </c>
      <c r="I174" s="2"/>
      <c r="J174" s="6">
        <f t="shared" si="26"/>
        <v>0</v>
      </c>
      <c r="K174" s="2"/>
      <c r="L174" s="7">
        <f t="shared" si="27"/>
        <v>3741.03</v>
      </c>
      <c r="M174" s="2"/>
      <c r="N174" s="6">
        <f t="shared" si="28"/>
        <v>0</v>
      </c>
      <c r="O174" s="11"/>
      <c r="P174" s="7">
        <v>19121.28</v>
      </c>
      <c r="Q174" s="2"/>
      <c r="R174" s="6">
        <f t="shared" si="29"/>
        <v>2.1236839947846829E-3</v>
      </c>
      <c r="S174" s="2"/>
      <c r="T174" s="7">
        <v>0</v>
      </c>
      <c r="U174" s="2"/>
      <c r="V174" s="6">
        <f t="shared" si="30"/>
        <v>0</v>
      </c>
      <c r="W174" s="2"/>
      <c r="X174" s="7">
        <f t="shared" si="31"/>
        <v>19121.28</v>
      </c>
      <c r="Y174" s="2"/>
      <c r="Z174" s="6">
        <f t="shared" si="32"/>
        <v>0</v>
      </c>
    </row>
    <row r="175" spans="1:26" s="24" customFormat="1" hidden="1" outlineLevel="2" x14ac:dyDescent="0.25">
      <c r="A175" s="26"/>
      <c r="B175" s="11" t="str">
        <f>CONCATENATE("          ", "6007", " - ", "STUDENT HOURLY")</f>
        <v xml:space="preserve">          6007 - STUDENT HOURLY</v>
      </c>
      <c r="C175" s="11"/>
      <c r="D175" s="7">
        <v>12886.37</v>
      </c>
      <c r="E175" s="2"/>
      <c r="F175" s="6">
        <f t="shared" si="25"/>
        <v>1.2406573677801791E-2</v>
      </c>
      <c r="G175" s="2"/>
      <c r="H175" s="7">
        <v>0</v>
      </c>
      <c r="I175" s="2"/>
      <c r="J175" s="6">
        <f t="shared" si="26"/>
        <v>0</v>
      </c>
      <c r="K175" s="2"/>
      <c r="L175" s="7">
        <f t="shared" si="27"/>
        <v>12886.37</v>
      </c>
      <c r="M175" s="2"/>
      <c r="N175" s="6">
        <f t="shared" si="28"/>
        <v>0</v>
      </c>
      <c r="O175" s="11"/>
      <c r="P175" s="7">
        <v>406199.48</v>
      </c>
      <c r="Q175" s="2"/>
      <c r="R175" s="6">
        <f t="shared" si="29"/>
        <v>4.5114099807432397E-2</v>
      </c>
      <c r="S175" s="2"/>
      <c r="T175" s="7">
        <v>195330.11249999999</v>
      </c>
      <c r="U175" s="2"/>
      <c r="V175" s="6">
        <f t="shared" si="30"/>
        <v>1.2824349225218171E-2</v>
      </c>
      <c r="W175" s="2"/>
      <c r="X175" s="7">
        <f t="shared" si="31"/>
        <v>210869.36749999999</v>
      </c>
      <c r="Y175" s="2"/>
      <c r="Z175" s="6">
        <f t="shared" si="32"/>
        <v>1.0795538117554713</v>
      </c>
    </row>
    <row r="176" spans="1:26" s="24" customFormat="1" hidden="1" outlineLevel="2" x14ac:dyDescent="0.25">
      <c r="A176" s="26"/>
      <c r="B176" s="11" t="str">
        <f>CONCATENATE("          ", "6008", " - ", "STUDENT HOURLY-FICA EXEMPT")</f>
        <v xml:space="preserve">          6008 - STUDENT HOURLY-FICA EXEMPT</v>
      </c>
      <c r="C176" s="11"/>
      <c r="D176" s="7">
        <v>1590.33</v>
      </c>
      <c r="E176" s="2"/>
      <c r="F176" s="6">
        <f t="shared" si="25"/>
        <v>1.5311174766065635E-3</v>
      </c>
      <c r="G176" s="2"/>
      <c r="H176" s="7">
        <v>137959.35524999999</v>
      </c>
      <c r="I176" s="2"/>
      <c r="J176" s="6">
        <f t="shared" si="26"/>
        <v>9.8890562021574521E-2</v>
      </c>
      <c r="K176" s="2"/>
      <c r="L176" s="7">
        <f t="shared" si="27"/>
        <v>-136369.02525000001</v>
      </c>
      <c r="M176" s="2"/>
      <c r="N176" s="6">
        <f t="shared" si="28"/>
        <v>-0.98847247439567898</v>
      </c>
      <c r="O176" s="11"/>
      <c r="P176" s="7">
        <v>24544.71</v>
      </c>
      <c r="Q176" s="2"/>
      <c r="R176" s="6">
        <f t="shared" si="29"/>
        <v>2.7260313003957663E-3</v>
      </c>
      <c r="S176" s="2"/>
      <c r="T176" s="7">
        <v>1106522.26162</v>
      </c>
      <c r="U176" s="2"/>
      <c r="V176" s="6">
        <f t="shared" si="30"/>
        <v>7.2648439745782195E-2</v>
      </c>
      <c r="W176" s="2"/>
      <c r="X176" s="7">
        <f t="shared" si="31"/>
        <v>-1081977.55162</v>
      </c>
      <c r="Y176" s="2"/>
      <c r="Z176" s="6">
        <f t="shared" si="32"/>
        <v>-0.97781815074911793</v>
      </c>
    </row>
    <row r="177" spans="1:26" s="24" customFormat="1" hidden="1" outlineLevel="2" x14ac:dyDescent="0.25">
      <c r="A177" s="26"/>
      <c r="B177" s="11" t="str">
        <f>CONCATENATE("          ", "6009", " - ", "TEMPORARY-SEASONAL")</f>
        <v xml:space="preserve">          6009 - TEMPORARY-SEASONAL</v>
      </c>
      <c r="C177" s="11"/>
      <c r="D177" s="7"/>
      <c r="E177" s="2"/>
      <c r="F177" s="6">
        <f t="shared" si="25"/>
        <v>0</v>
      </c>
      <c r="G177" s="2"/>
      <c r="H177" s="7">
        <v>0</v>
      </c>
      <c r="I177" s="2"/>
      <c r="J177" s="6">
        <f t="shared" si="26"/>
        <v>0</v>
      </c>
      <c r="K177" s="2"/>
      <c r="L177" s="7">
        <f t="shared" si="27"/>
        <v>0</v>
      </c>
      <c r="M177" s="2"/>
      <c r="N177" s="6">
        <f t="shared" si="28"/>
        <v>0</v>
      </c>
      <c r="O177" s="11"/>
      <c r="P177" s="7"/>
      <c r="Q177" s="2"/>
      <c r="R177" s="6">
        <f t="shared" si="29"/>
        <v>0</v>
      </c>
      <c r="S177" s="2"/>
      <c r="T177" s="7">
        <v>0</v>
      </c>
      <c r="U177" s="2"/>
      <c r="V177" s="6">
        <f t="shared" si="30"/>
        <v>0</v>
      </c>
      <c r="W177" s="2"/>
      <c r="X177" s="7">
        <f t="shared" si="31"/>
        <v>0</v>
      </c>
      <c r="Y177" s="2"/>
      <c r="Z177" s="6">
        <f t="shared" si="32"/>
        <v>0</v>
      </c>
    </row>
    <row r="178" spans="1:26" s="24" customFormat="1" hidden="1" outlineLevel="2" x14ac:dyDescent="0.25">
      <c r="A178" s="26"/>
      <c r="B178" s="11" t="str">
        <f>CONCATENATE("          ", "6010", " - ", "GRATUITY")</f>
        <v xml:space="preserve">          6010 - GRATUITY</v>
      </c>
      <c r="C178" s="11"/>
      <c r="D178" s="7"/>
      <c r="E178" s="2"/>
      <c r="F178" s="6">
        <f t="shared" si="25"/>
        <v>0</v>
      </c>
      <c r="G178" s="2"/>
      <c r="H178" s="7">
        <v>0</v>
      </c>
      <c r="I178" s="2"/>
      <c r="J178" s="6">
        <f t="shared" si="26"/>
        <v>0</v>
      </c>
      <c r="K178" s="2"/>
      <c r="L178" s="7">
        <f t="shared" si="27"/>
        <v>0</v>
      </c>
      <c r="M178" s="2"/>
      <c r="N178" s="6">
        <f t="shared" si="28"/>
        <v>0</v>
      </c>
      <c r="O178" s="11"/>
      <c r="P178" s="7"/>
      <c r="Q178" s="2"/>
      <c r="R178" s="6">
        <f t="shared" si="29"/>
        <v>0</v>
      </c>
      <c r="S178" s="2"/>
      <c r="T178" s="7">
        <v>0</v>
      </c>
      <c r="U178" s="2"/>
      <c r="V178" s="6">
        <f t="shared" si="30"/>
        <v>0</v>
      </c>
      <c r="W178" s="2"/>
      <c r="X178" s="7">
        <f t="shared" si="31"/>
        <v>0</v>
      </c>
      <c r="Y178" s="2"/>
      <c r="Z178" s="6">
        <f t="shared" si="32"/>
        <v>0</v>
      </c>
    </row>
    <row r="179" spans="1:26" s="25" customFormat="1" outlineLevel="1" collapsed="1" x14ac:dyDescent="0.25">
      <c r="A179" s="27"/>
      <c r="B179" s="13" t="str">
        <f>CONCATENATE("     ","Advertising/Promo                                 ")</f>
        <v xml:space="preserve">     Advertising/Promo                                 </v>
      </c>
      <c r="C179" s="13"/>
      <c r="D179" s="1">
        <f>SUM(OSRRefD22_2x_0)</f>
        <v>1531.18</v>
      </c>
      <c r="E179" s="1"/>
      <c r="F179" s="5">
        <f t="shared" ref="F179:F183" si="33">IF(D$12=0,0,D179/D$12)</f>
        <v>1.4741697998720002E-3</v>
      </c>
      <c r="G179" s="1"/>
      <c r="H179" s="1">
        <f>SUM(OSRRefH22_2x_0)</f>
        <v>2949</v>
      </c>
      <c r="I179" s="1"/>
      <c r="J179" s="5">
        <f t="shared" ref="J179:J183" si="34">IF(H$12=0,0,H179/H$12)</f>
        <v>2.1138709069287512E-3</v>
      </c>
      <c r="K179" s="1"/>
      <c r="L179" s="1">
        <f t="shared" ref="L179:L183" si="35">+D179-H179</f>
        <v>-1417.82</v>
      </c>
      <c r="M179" s="1"/>
      <c r="N179" s="5">
        <f t="shared" ref="N179:N183" si="36">IF(H179=0,0,L179/H179)</f>
        <v>-0.48077992539844011</v>
      </c>
      <c r="O179" s="13"/>
      <c r="P179" s="1">
        <f>SUM(OSRRefP22_2x_0)</f>
        <v>20170.52</v>
      </c>
      <c r="Q179" s="1"/>
      <c r="R179" s="5">
        <f t="shared" ref="R179:R183" si="37">IF(P$12=0,0,P179/P$12)</f>
        <v>2.2402166847870198E-3</v>
      </c>
      <c r="S179" s="1"/>
      <c r="T179" s="1">
        <f>SUM(OSRRefT22_2x_0)</f>
        <v>36418</v>
      </c>
      <c r="U179" s="1"/>
      <c r="V179" s="5">
        <f t="shared" ref="V179:V183" si="38">IF(T$12=0,0,T179/T$12)</f>
        <v>2.3910145962978209E-3</v>
      </c>
      <c r="W179" s="1"/>
      <c r="X179" s="1">
        <f t="shared" ref="X179:X183" si="39">+P179-T179</f>
        <v>-16247.48</v>
      </c>
      <c r="Y179" s="1"/>
      <c r="Z179" s="5">
        <f t="shared" ref="Z179:Z183" si="40">IF(T179=0,0,X179/T179)</f>
        <v>-0.4461387226096985</v>
      </c>
    </row>
    <row r="180" spans="1:26" s="24" customFormat="1" hidden="1" outlineLevel="2" x14ac:dyDescent="0.25">
      <c r="A180" s="26"/>
      <c r="B180" s="11" t="str">
        <f>CONCATENATE("          ", "6362", " - ", "ADVERTISING EXPENSE")</f>
        <v xml:space="preserve">          6362 - ADVERTISING EXPENSE</v>
      </c>
      <c r="C180" s="11"/>
      <c r="D180" s="7">
        <v>1531.18</v>
      </c>
      <c r="E180" s="2"/>
      <c r="F180" s="6">
        <f t="shared" si="33"/>
        <v>1.4741697998720002E-3</v>
      </c>
      <c r="G180" s="2"/>
      <c r="H180" s="7">
        <v>2949</v>
      </c>
      <c r="I180" s="2"/>
      <c r="J180" s="6">
        <f t="shared" si="34"/>
        <v>2.1138709069287512E-3</v>
      </c>
      <c r="K180" s="2"/>
      <c r="L180" s="7">
        <f t="shared" si="35"/>
        <v>-1417.82</v>
      </c>
      <c r="M180" s="2"/>
      <c r="N180" s="6">
        <f t="shared" si="36"/>
        <v>-0.48077992539844011</v>
      </c>
      <c r="O180" s="11"/>
      <c r="P180" s="7">
        <v>20170.52</v>
      </c>
      <c r="Q180" s="2"/>
      <c r="R180" s="6">
        <f t="shared" si="37"/>
        <v>2.2402166847870198E-3</v>
      </c>
      <c r="S180" s="2"/>
      <c r="T180" s="7">
        <v>36418</v>
      </c>
      <c r="U180" s="2"/>
      <c r="V180" s="6">
        <f t="shared" si="38"/>
        <v>2.3910145962978209E-3</v>
      </c>
      <c r="W180" s="2"/>
      <c r="X180" s="7">
        <f t="shared" si="39"/>
        <v>-16247.48</v>
      </c>
      <c r="Y180" s="2"/>
      <c r="Z180" s="6">
        <f t="shared" si="40"/>
        <v>-0.4461387226096985</v>
      </c>
    </row>
    <row r="181" spans="1:26" s="25" customFormat="1" outlineLevel="1" collapsed="1" x14ac:dyDescent="0.25">
      <c r="A181" s="27"/>
      <c r="B181" s="13" t="str">
        <f>CONCATENATE("     ","Bad Debts/Over/Short                              ")</f>
        <v xml:space="preserve">     Bad Debts/Over/Short                              </v>
      </c>
      <c r="C181" s="13"/>
      <c r="D181" s="1">
        <f>SUM(OSRRefD22_3x_0)</f>
        <v>-0.67</v>
      </c>
      <c r="E181" s="1"/>
      <c r="F181" s="5">
        <f t="shared" si="33"/>
        <v>-6.450539883712171E-7</v>
      </c>
      <c r="G181" s="1"/>
      <c r="H181" s="1">
        <f>SUM(OSRRefH22_3x_0)</f>
        <v>153</v>
      </c>
      <c r="I181" s="1"/>
      <c r="J181" s="5">
        <f t="shared" si="34"/>
        <v>1.0967183749070836E-4</v>
      </c>
      <c r="K181" s="1"/>
      <c r="L181" s="1">
        <f t="shared" si="35"/>
        <v>-153.66999999999999</v>
      </c>
      <c r="M181" s="1"/>
      <c r="N181" s="5">
        <f t="shared" si="36"/>
        <v>-1.0043790849673202</v>
      </c>
      <c r="O181" s="13"/>
      <c r="P181" s="1">
        <f>SUM(OSRRefP22_3x_0)</f>
        <v>5248.53</v>
      </c>
      <c r="Q181" s="1"/>
      <c r="R181" s="5">
        <f t="shared" si="37"/>
        <v>5.8292222890660313E-4</v>
      </c>
      <c r="S181" s="1"/>
      <c r="T181" s="1">
        <f>SUM(OSRRefT22_3x_0)</f>
        <v>1553</v>
      </c>
      <c r="U181" s="1"/>
      <c r="V181" s="5">
        <f t="shared" si="38"/>
        <v>1.0196182294608478E-4</v>
      </c>
      <c r="W181" s="1"/>
      <c r="X181" s="1">
        <f t="shared" si="39"/>
        <v>3695.5299999999997</v>
      </c>
      <c r="Y181" s="1"/>
      <c r="Z181" s="5">
        <f t="shared" si="40"/>
        <v>2.379607211848036</v>
      </c>
    </row>
    <row r="182" spans="1:26" s="24" customFormat="1" hidden="1" outlineLevel="2" x14ac:dyDescent="0.25">
      <c r="A182" s="26"/>
      <c r="B182" s="11" t="str">
        <f>CONCATENATE("          ", "6272", " - ", "CASH (OVER/SHORT)")</f>
        <v xml:space="preserve">          6272 - CASH (OVER/SHORT)</v>
      </c>
      <c r="C182" s="11"/>
      <c r="D182" s="7">
        <v>-0.67</v>
      </c>
      <c r="E182" s="2"/>
      <c r="F182" s="6">
        <f t="shared" si="33"/>
        <v>-6.450539883712171E-7</v>
      </c>
      <c r="G182" s="2"/>
      <c r="H182" s="7">
        <v>103</v>
      </c>
      <c r="I182" s="2"/>
      <c r="J182" s="6">
        <f t="shared" si="34"/>
        <v>7.3831367722503006E-5</v>
      </c>
      <c r="K182" s="2"/>
      <c r="L182" s="7">
        <f t="shared" si="35"/>
        <v>-103.67</v>
      </c>
      <c r="M182" s="2"/>
      <c r="N182" s="6">
        <f t="shared" si="36"/>
        <v>-1.0065048543689321</v>
      </c>
      <c r="O182" s="11"/>
      <c r="P182" s="7">
        <v>-100.89</v>
      </c>
      <c r="Q182" s="2"/>
      <c r="R182" s="6">
        <f t="shared" si="37"/>
        <v>-1.1205237213922222E-5</v>
      </c>
      <c r="S182" s="2"/>
      <c r="T182" s="7">
        <v>1053</v>
      </c>
      <c r="U182" s="2"/>
      <c r="V182" s="6">
        <f t="shared" si="38"/>
        <v>6.9134449170783825E-5</v>
      </c>
      <c r="W182" s="2"/>
      <c r="X182" s="7">
        <f t="shared" si="39"/>
        <v>-1153.8900000000001</v>
      </c>
      <c r="Y182" s="2"/>
      <c r="Z182" s="6">
        <f t="shared" si="40"/>
        <v>-1.0958119658119658</v>
      </c>
    </row>
    <row r="183" spans="1:26" s="24" customFormat="1" hidden="1" outlineLevel="2" x14ac:dyDescent="0.25">
      <c r="A183" s="26"/>
      <c r="B183" s="11" t="str">
        <f>CONCATENATE("          ", "6342", " - ", "BAD DEBT")</f>
        <v xml:space="preserve">          6342 - BAD DEBT</v>
      </c>
      <c r="C183" s="11"/>
      <c r="D183" s="7"/>
      <c r="E183" s="2"/>
      <c r="F183" s="6">
        <f t="shared" si="33"/>
        <v>0</v>
      </c>
      <c r="G183" s="2"/>
      <c r="H183" s="7">
        <v>50</v>
      </c>
      <c r="I183" s="2"/>
      <c r="J183" s="6">
        <f t="shared" si="34"/>
        <v>3.5840469768205343E-5</v>
      </c>
      <c r="K183" s="2"/>
      <c r="L183" s="7">
        <f t="shared" si="35"/>
        <v>-50</v>
      </c>
      <c r="M183" s="2"/>
      <c r="N183" s="6">
        <f t="shared" si="36"/>
        <v>-1</v>
      </c>
      <c r="O183" s="11"/>
      <c r="P183" s="7">
        <v>5349.42</v>
      </c>
      <c r="Q183" s="2"/>
      <c r="R183" s="6">
        <f t="shared" si="37"/>
        <v>5.9412746612052538E-4</v>
      </c>
      <c r="S183" s="2"/>
      <c r="T183" s="7">
        <v>500</v>
      </c>
      <c r="U183" s="2"/>
      <c r="V183" s="6">
        <f t="shared" si="38"/>
        <v>3.2827373775300962E-5</v>
      </c>
      <c r="W183" s="2"/>
      <c r="X183" s="7">
        <f t="shared" si="39"/>
        <v>4849.42</v>
      </c>
      <c r="Y183" s="2"/>
      <c r="Z183" s="6">
        <f t="shared" si="40"/>
        <v>9.6988400000000006</v>
      </c>
    </row>
    <row r="184" spans="1:26" s="25" customFormat="1" outlineLevel="1" collapsed="1" x14ac:dyDescent="0.25">
      <c r="A184" s="27"/>
      <c r="B184" s="13" t="str">
        <f>CONCATENATE("     ","Bank/card Fees                                    ")</f>
        <v xml:space="preserve">     Bank/card Fees                                    </v>
      </c>
      <c r="C184" s="13"/>
      <c r="D184" s="1">
        <f>SUM(OSRRefD22_4x_0)</f>
        <v>7142.6</v>
      </c>
      <c r="E184" s="1"/>
      <c r="F184" s="5">
        <f t="shared" ref="F184:F189" si="41">IF(D$12=0,0,D184/D$12)</f>
        <v>6.876660622895903E-3</v>
      </c>
      <c r="G184" s="1"/>
      <c r="H184" s="1">
        <f>SUM(OSRRefH22_4x_0)</f>
        <v>28106</v>
      </c>
      <c r="I184" s="1"/>
      <c r="J184" s="5">
        <f t="shared" ref="J184:J189" si="42">IF(H$12=0,0,H184/H$12)</f>
        <v>2.014664486610359E-2</v>
      </c>
      <c r="K184" s="1"/>
      <c r="L184" s="1">
        <f t="shared" ref="L184:L189" si="43">+D184-H184</f>
        <v>-20963.400000000001</v>
      </c>
      <c r="M184" s="1"/>
      <c r="N184" s="5">
        <f t="shared" ref="N184:N189" si="44">IF(H184=0,0,L184/H184)</f>
        <v>-0.74586920942147594</v>
      </c>
      <c r="O184" s="13"/>
      <c r="P184" s="1">
        <f>SUM(OSRRefP22_4x_0)</f>
        <v>84433.91</v>
      </c>
      <c r="Q184" s="1"/>
      <c r="R184" s="5">
        <f t="shared" ref="R184:R189" si="45">IF(P$12=0,0,P184/P$12)</f>
        <v>9.3775596238374424E-3</v>
      </c>
      <c r="S184" s="1"/>
      <c r="T184" s="1">
        <f>SUM(OSRRefT22_4x_0)</f>
        <v>279809</v>
      </c>
      <c r="U184" s="1"/>
      <c r="V184" s="5">
        <f t="shared" ref="V184:V189" si="46">IF(T$12=0,0,T184/T$12)</f>
        <v>1.8370789257386371E-2</v>
      </c>
      <c r="W184" s="1"/>
      <c r="X184" s="1">
        <f t="shared" ref="X184:X189" si="47">+P184-T184</f>
        <v>-195375.09</v>
      </c>
      <c r="Y184" s="1"/>
      <c r="Z184" s="5">
        <f t="shared" ref="Z184:Z189" si="48">IF(T184=0,0,X184/T184)</f>
        <v>-0.69824448105672077</v>
      </c>
    </row>
    <row r="185" spans="1:26" s="24" customFormat="1" hidden="1" outlineLevel="2" x14ac:dyDescent="0.25">
      <c r="A185" s="26"/>
      <c r="B185" s="11" t="str">
        <f>CONCATENATE("          ", "6381", " - ", "BANK/CREDIT CARD FEES")</f>
        <v xml:space="preserve">          6381 - BANK/CREDIT CARD FEES</v>
      </c>
      <c r="C185" s="11"/>
      <c r="D185" s="7">
        <v>7142.6</v>
      </c>
      <c r="E185" s="2"/>
      <c r="F185" s="6">
        <f t="shared" si="41"/>
        <v>6.876660622895903E-3</v>
      </c>
      <c r="G185" s="2"/>
      <c r="H185" s="7">
        <v>28106</v>
      </c>
      <c r="I185" s="2"/>
      <c r="J185" s="6">
        <f t="shared" si="42"/>
        <v>2.014664486610359E-2</v>
      </c>
      <c r="K185" s="2"/>
      <c r="L185" s="7">
        <f t="shared" si="43"/>
        <v>-20963.400000000001</v>
      </c>
      <c r="M185" s="2"/>
      <c r="N185" s="6">
        <f t="shared" si="44"/>
        <v>-0.74586920942147594</v>
      </c>
      <c r="O185" s="11"/>
      <c r="P185" s="7">
        <v>84433.91</v>
      </c>
      <c r="Q185" s="2"/>
      <c r="R185" s="6">
        <f t="shared" si="45"/>
        <v>9.3775596238374424E-3</v>
      </c>
      <c r="S185" s="2"/>
      <c r="T185" s="7">
        <v>279809</v>
      </c>
      <c r="U185" s="2"/>
      <c r="V185" s="6">
        <f t="shared" si="46"/>
        <v>1.8370789257386371E-2</v>
      </c>
      <c r="W185" s="2"/>
      <c r="X185" s="7">
        <f t="shared" si="47"/>
        <v>-195375.09</v>
      </c>
      <c r="Y185" s="2"/>
      <c r="Z185" s="6">
        <f t="shared" si="48"/>
        <v>-0.69824448105672077</v>
      </c>
    </row>
    <row r="186" spans="1:26" s="25" customFormat="1" outlineLevel="1" collapsed="1" x14ac:dyDescent="0.25">
      <c r="A186" s="27"/>
      <c r="B186" s="13" t="str">
        <f>CONCATENATE("     ","Depreciation                                      ")</f>
        <v xml:space="preserve">     Depreciation                                      </v>
      </c>
      <c r="C186" s="13"/>
      <c r="D186" s="1">
        <f>SUM(OSRRefD22_5x_0)</f>
        <v>77647.64</v>
      </c>
      <c r="E186" s="1"/>
      <c r="F186" s="5">
        <f t="shared" si="41"/>
        <v>7.4756596820317087E-2</v>
      </c>
      <c r="G186" s="1"/>
      <c r="H186" s="1">
        <f>SUM(OSRRefH22_5x_0)</f>
        <v>77087</v>
      </c>
      <c r="I186" s="1"/>
      <c r="J186" s="5">
        <f t="shared" si="42"/>
        <v>5.5256685860432912E-2</v>
      </c>
      <c r="K186" s="1"/>
      <c r="L186" s="1">
        <f t="shared" si="43"/>
        <v>560.63999999999942</v>
      </c>
      <c r="M186" s="1"/>
      <c r="N186" s="5">
        <f t="shared" si="44"/>
        <v>7.2728216171338801E-3</v>
      </c>
      <c r="O186" s="13"/>
      <c r="P186" s="1">
        <f>SUM(OSRRefP22_5x_0)</f>
        <v>779248.25</v>
      </c>
      <c r="Q186" s="1"/>
      <c r="R186" s="5">
        <f t="shared" si="45"/>
        <v>8.6546352361817486E-2</v>
      </c>
      <c r="S186" s="1"/>
      <c r="T186" s="1">
        <f>SUM(OSRRefT22_5x_0)</f>
        <v>774930</v>
      </c>
      <c r="U186" s="1"/>
      <c r="V186" s="5">
        <f t="shared" si="46"/>
        <v>5.0877833519387947E-2</v>
      </c>
      <c r="W186" s="1"/>
      <c r="X186" s="1">
        <f t="shared" si="47"/>
        <v>4318.25</v>
      </c>
      <c r="Y186" s="1"/>
      <c r="Z186" s="5">
        <f t="shared" si="48"/>
        <v>5.5724388009239546E-3</v>
      </c>
    </row>
    <row r="187" spans="1:26" s="24" customFormat="1" hidden="1" outlineLevel="2" x14ac:dyDescent="0.25">
      <c r="A187" s="26"/>
      <c r="B187" s="11" t="str">
        <f>CONCATENATE("          ", "6321", " - ", "BUILDING DEPRECIATION")</f>
        <v xml:space="preserve">          6321 - BUILDING DEPRECIATION</v>
      </c>
      <c r="C187" s="11"/>
      <c r="D187" s="7">
        <v>45060.52</v>
      </c>
      <c r="E187" s="2"/>
      <c r="F187" s="6">
        <f t="shared" si="41"/>
        <v>4.3382788274747744E-2</v>
      </c>
      <c r="G187" s="2"/>
      <c r="H187" s="7"/>
      <c r="I187" s="2"/>
      <c r="J187" s="6">
        <f t="shared" si="42"/>
        <v>0</v>
      </c>
      <c r="K187" s="2"/>
      <c r="L187" s="7">
        <f t="shared" si="43"/>
        <v>45060.52</v>
      </c>
      <c r="M187" s="2"/>
      <c r="N187" s="6">
        <f t="shared" si="44"/>
        <v>0</v>
      </c>
      <c r="O187" s="11"/>
      <c r="P187" s="7">
        <v>451389.39</v>
      </c>
      <c r="Q187" s="2"/>
      <c r="R187" s="6">
        <f t="shared" si="45"/>
        <v>5.0133067606280612E-2</v>
      </c>
      <c r="S187" s="2"/>
      <c r="T187" s="7"/>
      <c r="U187" s="2"/>
      <c r="V187" s="6">
        <f t="shared" si="46"/>
        <v>0</v>
      </c>
      <c r="W187" s="2"/>
      <c r="X187" s="7">
        <f t="shared" si="47"/>
        <v>451389.39</v>
      </c>
      <c r="Y187" s="2"/>
      <c r="Z187" s="6">
        <f t="shared" si="48"/>
        <v>0</v>
      </c>
    </row>
    <row r="188" spans="1:26" s="24" customFormat="1" hidden="1" outlineLevel="2" x14ac:dyDescent="0.25">
      <c r="A188" s="26"/>
      <c r="B188" s="11" t="str">
        <f>CONCATENATE("          ", "6322", " - ", "EQUIPMENT DEPRECIATION EXPENSE")</f>
        <v xml:space="preserve">          6322 - EQUIPMENT DEPRECIATION EXPENSE</v>
      </c>
      <c r="C188" s="11"/>
      <c r="D188" s="7">
        <v>32587.119999999999</v>
      </c>
      <c r="E188" s="2"/>
      <c r="F188" s="6">
        <f t="shared" si="41"/>
        <v>3.1373808545569336E-2</v>
      </c>
      <c r="G188" s="2"/>
      <c r="H188" s="7">
        <v>76537</v>
      </c>
      <c r="I188" s="2"/>
      <c r="J188" s="6">
        <f t="shared" si="42"/>
        <v>5.4862440692982649E-2</v>
      </c>
      <c r="K188" s="2"/>
      <c r="L188" s="7">
        <f t="shared" si="43"/>
        <v>-43949.880000000005</v>
      </c>
      <c r="M188" s="2"/>
      <c r="N188" s="6">
        <f t="shared" si="44"/>
        <v>-0.57423050289402522</v>
      </c>
      <c r="O188" s="11"/>
      <c r="P188" s="7">
        <v>327858.86</v>
      </c>
      <c r="Q188" s="2"/>
      <c r="R188" s="6">
        <f t="shared" si="45"/>
        <v>3.6413284755536873E-2</v>
      </c>
      <c r="S188" s="2"/>
      <c r="T188" s="7">
        <v>769430</v>
      </c>
      <c r="U188" s="2"/>
      <c r="V188" s="6">
        <f t="shared" si="46"/>
        <v>5.0516732407859637E-2</v>
      </c>
      <c r="W188" s="2"/>
      <c r="X188" s="7">
        <f t="shared" si="47"/>
        <v>-441571.14</v>
      </c>
      <c r="Y188" s="2"/>
      <c r="Z188" s="6">
        <f t="shared" si="48"/>
        <v>-0.57389384349453498</v>
      </c>
    </row>
    <row r="189" spans="1:26" s="24" customFormat="1" hidden="1" outlineLevel="2" x14ac:dyDescent="0.25">
      <c r="A189" s="26"/>
      <c r="B189" s="11" t="str">
        <f>CONCATENATE("          ", "6326", " - ", "VEHICLES DEPRECIATION EXPENSE")</f>
        <v xml:space="preserve">          6326 - VEHICLES DEPRECIATION EXPENSE</v>
      </c>
      <c r="C189" s="11"/>
      <c r="D189" s="7"/>
      <c r="E189" s="2"/>
      <c r="F189" s="6">
        <f t="shared" si="41"/>
        <v>0</v>
      </c>
      <c r="G189" s="2"/>
      <c r="H189" s="7">
        <v>550</v>
      </c>
      <c r="I189" s="2"/>
      <c r="J189" s="6">
        <f t="shared" si="42"/>
        <v>3.9424516745025878E-4</v>
      </c>
      <c r="K189" s="2"/>
      <c r="L189" s="7">
        <f t="shared" si="43"/>
        <v>-550</v>
      </c>
      <c r="M189" s="2"/>
      <c r="N189" s="6">
        <f t="shared" si="44"/>
        <v>-1</v>
      </c>
      <c r="O189" s="11"/>
      <c r="P189" s="7"/>
      <c r="Q189" s="2"/>
      <c r="R189" s="6">
        <f t="shared" si="45"/>
        <v>0</v>
      </c>
      <c r="S189" s="2"/>
      <c r="T189" s="7">
        <v>5500</v>
      </c>
      <c r="U189" s="2"/>
      <c r="V189" s="6">
        <f t="shared" si="46"/>
        <v>3.6110111152831058E-4</v>
      </c>
      <c r="W189" s="2"/>
      <c r="X189" s="7">
        <f t="shared" si="47"/>
        <v>-5500</v>
      </c>
      <c r="Y189" s="2"/>
      <c r="Z189" s="6">
        <f t="shared" si="48"/>
        <v>-1</v>
      </c>
    </row>
    <row r="190" spans="1:26" s="25" customFormat="1" outlineLevel="1" collapsed="1" x14ac:dyDescent="0.25">
      <c r="A190" s="27"/>
      <c r="B190" s="13" t="str">
        <f>CONCATENATE("     ","Discounts and Markdowns                           ")</f>
        <v xml:space="preserve">     Discounts and Markdowns                           </v>
      </c>
      <c r="C190" s="13"/>
      <c r="D190" s="1">
        <f>SUM(OSRRefD22_6x_0)</f>
        <v>-15.43</v>
      </c>
      <c r="E190" s="1"/>
      <c r="F190" s="5">
        <f t="shared" ref="F190:F192" si="49">IF(D$12=0,0,D190/D$12)</f>
        <v>-1.4855497075474446E-5</v>
      </c>
      <c r="G190" s="1"/>
      <c r="H190" s="1">
        <f>SUM(OSRRefH22_6x_0)</f>
        <v>36496</v>
      </c>
      <c r="I190" s="1"/>
      <c r="J190" s="5">
        <f t="shared" ref="J190:J192" si="50">IF(H$12=0,0,H190/H$12)</f>
        <v>2.6160675693208447E-2</v>
      </c>
      <c r="K190" s="1"/>
      <c r="L190" s="1">
        <f t="shared" ref="L190:L192" si="51">+D190-H190</f>
        <v>-36511.43</v>
      </c>
      <c r="M190" s="1"/>
      <c r="N190" s="5">
        <f t="shared" ref="N190:N192" si="52">IF(H190=0,0,L190/H190)</f>
        <v>-1.0004227860587462</v>
      </c>
      <c r="O190" s="13"/>
      <c r="P190" s="1">
        <f>SUM(OSRRefP22_6x_0)</f>
        <v>-15.43</v>
      </c>
      <c r="Q190" s="1"/>
      <c r="R190" s="5">
        <f t="shared" ref="R190:R192" si="53">IF(P$12=0,0,P190/P$12)</f>
        <v>-1.713716029446128E-6</v>
      </c>
      <c r="S190" s="1"/>
      <c r="T190" s="1">
        <f>SUM(OSRRefT22_6x_0)</f>
        <v>314294</v>
      </c>
      <c r="U190" s="1"/>
      <c r="V190" s="5">
        <f t="shared" ref="V190:V192" si="54">IF(T$12=0,0,T190/T$12)</f>
        <v>2.0634893226668879E-2</v>
      </c>
      <c r="W190" s="1"/>
      <c r="X190" s="1">
        <f t="shared" ref="X190:X192" si="55">+P190-T190</f>
        <v>-314309.43</v>
      </c>
      <c r="Y190" s="1"/>
      <c r="Z190" s="5">
        <f t="shared" ref="Z190:Z192" si="56">IF(T190=0,0,X190/T190)</f>
        <v>-1.0000490941602449</v>
      </c>
    </row>
    <row r="191" spans="1:26" s="24" customFormat="1" hidden="1" outlineLevel="2" x14ac:dyDescent="0.25">
      <c r="A191" s="26"/>
      <c r="B191" s="11" t="str">
        <f>CONCATENATE("          ", "6382", " - ", "DISCOUNTS/MARK DOWNS")</f>
        <v xml:space="preserve">          6382 - DISCOUNTS/MARK DOWNS</v>
      </c>
      <c r="C191" s="11"/>
      <c r="D191" s="7">
        <v>0</v>
      </c>
      <c r="E191" s="2"/>
      <c r="F191" s="6">
        <f t="shared" si="49"/>
        <v>0</v>
      </c>
      <c r="G191" s="2"/>
      <c r="H191" s="7">
        <v>36496</v>
      </c>
      <c r="I191" s="2"/>
      <c r="J191" s="6">
        <f t="shared" si="50"/>
        <v>2.6160675693208447E-2</v>
      </c>
      <c r="K191" s="2"/>
      <c r="L191" s="7">
        <f t="shared" si="51"/>
        <v>-36496</v>
      </c>
      <c r="M191" s="2"/>
      <c r="N191" s="6">
        <f t="shared" si="52"/>
        <v>-1</v>
      </c>
      <c r="O191" s="11"/>
      <c r="P191" s="7">
        <v>0</v>
      </c>
      <c r="Q191" s="2"/>
      <c r="R191" s="6">
        <f t="shared" si="53"/>
        <v>0</v>
      </c>
      <c r="S191" s="2"/>
      <c r="T191" s="7">
        <v>314294</v>
      </c>
      <c r="U191" s="2"/>
      <c r="V191" s="6">
        <f t="shared" si="54"/>
        <v>2.0634893226668879E-2</v>
      </c>
      <c r="W191" s="2"/>
      <c r="X191" s="7">
        <f t="shared" si="55"/>
        <v>-314294</v>
      </c>
      <c r="Y191" s="2"/>
      <c r="Z191" s="6">
        <f t="shared" si="56"/>
        <v>-1</v>
      </c>
    </row>
    <row r="192" spans="1:26" s="24" customFormat="1" hidden="1" outlineLevel="2" x14ac:dyDescent="0.25">
      <c r="A192" s="26"/>
      <c r="B192" s="11" t="str">
        <f>CONCATENATE("          ", "9175", " - ", "EARNED DISCOUNTS")</f>
        <v xml:space="preserve">          9175 - EARNED DISCOUNTS</v>
      </c>
      <c r="C192" s="11"/>
      <c r="D192" s="7">
        <v>-15.43</v>
      </c>
      <c r="E192" s="2"/>
      <c r="F192" s="6">
        <f t="shared" si="49"/>
        <v>-1.4855497075474446E-5</v>
      </c>
      <c r="G192" s="2"/>
      <c r="H192" s="7"/>
      <c r="I192" s="2"/>
      <c r="J192" s="6">
        <f t="shared" si="50"/>
        <v>0</v>
      </c>
      <c r="K192" s="2"/>
      <c r="L192" s="7">
        <f t="shared" si="51"/>
        <v>-15.43</v>
      </c>
      <c r="M192" s="2"/>
      <c r="N192" s="6">
        <f t="shared" si="52"/>
        <v>0</v>
      </c>
      <c r="O192" s="11"/>
      <c r="P192" s="7">
        <v>-15.43</v>
      </c>
      <c r="Q192" s="2"/>
      <c r="R192" s="6">
        <f t="shared" si="53"/>
        <v>-1.713716029446128E-6</v>
      </c>
      <c r="S192" s="2"/>
      <c r="T192" s="7"/>
      <c r="U192" s="2"/>
      <c r="V192" s="6">
        <f t="shared" si="54"/>
        <v>0</v>
      </c>
      <c r="W192" s="2"/>
      <c r="X192" s="7">
        <f t="shared" si="55"/>
        <v>-15.43</v>
      </c>
      <c r="Y192" s="2"/>
      <c r="Z192" s="6">
        <f t="shared" si="56"/>
        <v>0</v>
      </c>
    </row>
    <row r="193" spans="1:26" s="25" customFormat="1" outlineLevel="1" collapsed="1" x14ac:dyDescent="0.25">
      <c r="A193" s="27"/>
      <c r="B193" s="13" t="str">
        <f>CONCATENATE("     ","Donations                                         ")</f>
        <v xml:space="preserve">     Donations                                         </v>
      </c>
      <c r="C193" s="13"/>
      <c r="D193" s="1">
        <f>SUM(OSRRefD22_7x_0)</f>
        <v>7686.78</v>
      </c>
      <c r="E193" s="1"/>
      <c r="F193" s="5">
        <f t="shared" ref="F193:F195" si="57">IF(D$12=0,0,D193/D$12)</f>
        <v>7.4005792488538854E-3</v>
      </c>
      <c r="G193" s="1"/>
      <c r="H193" s="1">
        <f>SUM(OSRRefH22_7x_0)</f>
        <v>14773</v>
      </c>
      <c r="I193" s="1"/>
      <c r="J193" s="5">
        <f t="shared" ref="J193:J195" si="58">IF(H$12=0,0,H193/H$12)</f>
        <v>1.0589425197713951E-2</v>
      </c>
      <c r="K193" s="1"/>
      <c r="L193" s="1">
        <f t="shared" ref="L193:L195" si="59">+D193-H193</f>
        <v>-7086.22</v>
      </c>
      <c r="M193" s="1"/>
      <c r="N193" s="5">
        <f t="shared" ref="N193:N195" si="60">IF(H193=0,0,L193/H193)</f>
        <v>-0.47967372910038586</v>
      </c>
      <c r="O193" s="13"/>
      <c r="P193" s="1">
        <f>SUM(OSRRefP22_7x_0)</f>
        <v>58666.54</v>
      </c>
      <c r="Q193" s="1"/>
      <c r="R193" s="5">
        <f t="shared" ref="R193:R195" si="61">IF(P$12=0,0,P193/P$12)</f>
        <v>6.51573493131189E-3</v>
      </c>
      <c r="S193" s="1"/>
      <c r="T193" s="1">
        <f>SUM(OSRRefT22_7x_0)</f>
        <v>129957</v>
      </c>
      <c r="U193" s="1"/>
      <c r="V193" s="5">
        <f t="shared" ref="V193:V195" si="62">IF(T$12=0,0,T193/T$12)</f>
        <v>8.5322940274335738E-3</v>
      </c>
      <c r="W193" s="1"/>
      <c r="X193" s="1">
        <f t="shared" ref="X193:X195" si="63">+P193-T193</f>
        <v>-71290.459999999992</v>
      </c>
      <c r="Y193" s="1"/>
      <c r="Z193" s="5">
        <f t="shared" ref="Z193:Z195" si="64">IF(T193=0,0,X193/T193)</f>
        <v>-0.54856960379202346</v>
      </c>
    </row>
    <row r="194" spans="1:26" s="24" customFormat="1" hidden="1" outlineLevel="2" x14ac:dyDescent="0.25">
      <c r="A194" s="26"/>
      <c r="B194" s="11" t="str">
        <f>CONCATENATE("          ", "6395", " - ", "DONATION-OFF CAMPUS")</f>
        <v xml:space="preserve">          6395 - DONATION-OFF CAMPUS</v>
      </c>
      <c r="C194" s="11"/>
      <c r="D194" s="7"/>
      <c r="E194" s="2"/>
      <c r="F194" s="6">
        <f t="shared" si="57"/>
        <v>0</v>
      </c>
      <c r="G194" s="2"/>
      <c r="H194" s="7"/>
      <c r="I194" s="2"/>
      <c r="J194" s="6">
        <f t="shared" si="58"/>
        <v>0</v>
      </c>
      <c r="K194" s="2"/>
      <c r="L194" s="7">
        <f t="shared" si="59"/>
        <v>0</v>
      </c>
      <c r="M194" s="2"/>
      <c r="N194" s="6">
        <f t="shared" si="60"/>
        <v>0</v>
      </c>
      <c r="O194" s="11"/>
      <c r="P194" s="7"/>
      <c r="Q194" s="2"/>
      <c r="R194" s="6">
        <f t="shared" si="61"/>
        <v>0</v>
      </c>
      <c r="S194" s="2"/>
      <c r="T194" s="7">
        <v>0</v>
      </c>
      <c r="U194" s="2"/>
      <c r="V194" s="6">
        <f t="shared" si="62"/>
        <v>0</v>
      </c>
      <c r="W194" s="2"/>
      <c r="X194" s="7">
        <f t="shared" si="63"/>
        <v>0</v>
      </c>
      <c r="Y194" s="2"/>
      <c r="Z194" s="6">
        <f t="shared" si="64"/>
        <v>0</v>
      </c>
    </row>
    <row r="195" spans="1:26" s="24" customFormat="1" hidden="1" outlineLevel="2" x14ac:dyDescent="0.25">
      <c r="A195" s="26"/>
      <c r="B195" s="11" t="str">
        <f>CONCATENATE("          ", "6399", " - ", "DONATION-ON CAMPUS")</f>
        <v xml:space="preserve">          6399 - DONATION-ON CAMPUS</v>
      </c>
      <c r="C195" s="11"/>
      <c r="D195" s="7">
        <v>7686.78</v>
      </c>
      <c r="E195" s="2"/>
      <c r="F195" s="6">
        <f t="shared" si="57"/>
        <v>7.4005792488538854E-3</v>
      </c>
      <c r="G195" s="2"/>
      <c r="H195" s="7">
        <v>14773</v>
      </c>
      <c r="I195" s="2"/>
      <c r="J195" s="6">
        <f t="shared" si="58"/>
        <v>1.0589425197713951E-2</v>
      </c>
      <c r="K195" s="2"/>
      <c r="L195" s="7">
        <f t="shared" si="59"/>
        <v>-7086.22</v>
      </c>
      <c r="M195" s="2"/>
      <c r="N195" s="6">
        <f t="shared" si="60"/>
        <v>-0.47967372910038586</v>
      </c>
      <c r="O195" s="11"/>
      <c r="P195" s="7">
        <v>58666.54</v>
      </c>
      <c r="Q195" s="2"/>
      <c r="R195" s="6">
        <f t="shared" si="61"/>
        <v>6.51573493131189E-3</v>
      </c>
      <c r="S195" s="2"/>
      <c r="T195" s="7">
        <v>129957</v>
      </c>
      <c r="U195" s="2"/>
      <c r="V195" s="6">
        <f t="shared" si="62"/>
        <v>8.5322940274335738E-3</v>
      </c>
      <c r="W195" s="2"/>
      <c r="X195" s="7">
        <f t="shared" si="63"/>
        <v>-71290.459999999992</v>
      </c>
      <c r="Y195" s="2"/>
      <c r="Z195" s="6">
        <f t="shared" si="64"/>
        <v>-0.54856960379202346</v>
      </c>
    </row>
    <row r="196" spans="1:26" s="25" customFormat="1" outlineLevel="1" collapsed="1" x14ac:dyDescent="0.25">
      <c r="A196" s="27"/>
      <c r="B196" s="13" t="str">
        <f>CONCATENATE("     ","Employees' Appreciation                           ")</f>
        <v xml:space="preserve">     Employees' Appreciation                           </v>
      </c>
      <c r="C196" s="13"/>
      <c r="D196" s="1">
        <f>SUM(OSRRefD22_8x_0)</f>
        <v>0</v>
      </c>
      <c r="E196" s="1"/>
      <c r="F196" s="5">
        <f t="shared" ref="F196:F202" si="65">IF(D$12=0,0,D196/D$12)</f>
        <v>0</v>
      </c>
      <c r="G196" s="1"/>
      <c r="H196" s="1">
        <f>SUM(OSRRefH22_8x_0)</f>
        <v>840</v>
      </c>
      <c r="I196" s="1"/>
      <c r="J196" s="5">
        <f t="shared" ref="J196:J202" si="66">IF(H$12=0,0,H196/H$12)</f>
        <v>6.0211989210584983E-4</v>
      </c>
      <c r="K196" s="1"/>
      <c r="L196" s="1">
        <f t="shared" ref="L196:L202" si="67">+D196-H196</f>
        <v>-840</v>
      </c>
      <c r="M196" s="1"/>
      <c r="N196" s="5">
        <f t="shared" ref="N196:N202" si="68">IF(H196=0,0,L196/H196)</f>
        <v>-1</v>
      </c>
      <c r="O196" s="13"/>
      <c r="P196" s="1">
        <f>SUM(OSRRefP22_8x_0)</f>
        <v>196.03</v>
      </c>
      <c r="Q196" s="1"/>
      <c r="R196" s="5">
        <f t="shared" ref="R196:R202" si="69">IF(P$12=0,0,P196/P$12)</f>
        <v>2.1771856983300356E-5</v>
      </c>
      <c r="S196" s="1"/>
      <c r="T196" s="1">
        <f>SUM(OSRRefT22_8x_0)</f>
        <v>7550</v>
      </c>
      <c r="U196" s="1"/>
      <c r="V196" s="5">
        <f t="shared" ref="V196:V202" si="70">IF(T$12=0,0,T196/T$12)</f>
        <v>4.9569334400704449E-4</v>
      </c>
      <c r="W196" s="1"/>
      <c r="X196" s="1">
        <f t="shared" ref="X196:X202" si="71">+P196-T196</f>
        <v>-7353.97</v>
      </c>
      <c r="Y196" s="1"/>
      <c r="Z196" s="5">
        <f t="shared" ref="Z196:Z202" si="72">IF(T196=0,0,X196/T196)</f>
        <v>-0.97403576158940397</v>
      </c>
    </row>
    <row r="197" spans="1:26" s="24" customFormat="1" hidden="1" outlineLevel="2" x14ac:dyDescent="0.25">
      <c r="A197" s="26"/>
      <c r="B197" s="11" t="str">
        <f>CONCATENATE("          ", "6277", " - ", "EMPLOYEE APPRECIATION")</f>
        <v xml:space="preserve">          6277 - EMPLOYEE APPRECIATION</v>
      </c>
      <c r="C197" s="11"/>
      <c r="D197" s="7"/>
      <c r="E197" s="2"/>
      <c r="F197" s="6">
        <f t="shared" si="65"/>
        <v>0</v>
      </c>
      <c r="G197" s="2"/>
      <c r="H197" s="7">
        <v>840</v>
      </c>
      <c r="I197" s="2"/>
      <c r="J197" s="6">
        <f t="shared" si="66"/>
        <v>6.0211989210584983E-4</v>
      </c>
      <c r="K197" s="2"/>
      <c r="L197" s="7">
        <f t="shared" si="67"/>
        <v>-840</v>
      </c>
      <c r="M197" s="2"/>
      <c r="N197" s="6">
        <f t="shared" si="68"/>
        <v>-1</v>
      </c>
      <c r="O197" s="11"/>
      <c r="P197" s="7">
        <v>196.03</v>
      </c>
      <c r="Q197" s="2"/>
      <c r="R197" s="6">
        <f t="shared" si="69"/>
        <v>2.1771856983300356E-5</v>
      </c>
      <c r="S197" s="2"/>
      <c r="T197" s="7">
        <v>7550</v>
      </c>
      <c r="U197" s="2"/>
      <c r="V197" s="6">
        <f t="shared" si="70"/>
        <v>4.9569334400704449E-4</v>
      </c>
      <c r="W197" s="2"/>
      <c r="X197" s="7">
        <f t="shared" si="71"/>
        <v>-7353.97</v>
      </c>
      <c r="Y197" s="2"/>
      <c r="Z197" s="6">
        <f t="shared" si="72"/>
        <v>-0.97403576158940397</v>
      </c>
    </row>
    <row r="198" spans="1:26" s="25" customFormat="1" outlineLevel="1" collapsed="1" x14ac:dyDescent="0.25">
      <c r="A198" s="27"/>
      <c r="B198" s="13" t="str">
        <f>CONCATENATE("     ","Equipment Rental                                  ")</f>
        <v xml:space="preserve">     Equipment Rental                                  </v>
      </c>
      <c r="C198" s="13"/>
      <c r="D198" s="1">
        <f>SUM(OSRRefD22_9x_0)</f>
        <v>3055.41</v>
      </c>
      <c r="E198" s="1"/>
      <c r="F198" s="5">
        <f t="shared" si="65"/>
        <v>2.9416483680735823E-3</v>
      </c>
      <c r="G198" s="1"/>
      <c r="H198" s="1">
        <f>SUM(OSRRefH22_9x_0)</f>
        <v>4196.3333333333303</v>
      </c>
      <c r="I198" s="1"/>
      <c r="J198" s="5">
        <f t="shared" si="66"/>
        <v>3.007971159412912E-3</v>
      </c>
      <c r="K198" s="1"/>
      <c r="L198" s="1">
        <f t="shared" si="67"/>
        <v>-1140.9233333333304</v>
      </c>
      <c r="M198" s="1"/>
      <c r="N198" s="5">
        <f t="shared" si="68"/>
        <v>-0.27188577329414521</v>
      </c>
      <c r="O198" s="13"/>
      <c r="P198" s="1">
        <f>SUM(OSRRefP22_9x_0)</f>
        <v>26380.52</v>
      </c>
      <c r="Q198" s="1"/>
      <c r="R198" s="5">
        <f t="shared" si="69"/>
        <v>2.9299235248946322E-3</v>
      </c>
      <c r="S198" s="1"/>
      <c r="T198" s="1">
        <f>SUM(OSRRefT22_9x_0)</f>
        <v>41269.333333333299</v>
      </c>
      <c r="U198" s="1"/>
      <c r="V198" s="5">
        <f t="shared" si="70"/>
        <v>2.7095276615816386E-3</v>
      </c>
      <c r="W198" s="1"/>
      <c r="X198" s="1">
        <f t="shared" si="71"/>
        <v>-14888.813333333299</v>
      </c>
      <c r="Y198" s="1"/>
      <c r="Z198" s="5">
        <f t="shared" si="72"/>
        <v>-0.36077184026880277</v>
      </c>
    </row>
    <row r="199" spans="1:26" s="24" customFormat="1" hidden="1" outlineLevel="2" x14ac:dyDescent="0.25">
      <c r="A199" s="26"/>
      <c r="B199" s="11" t="str">
        <f>CONCATENATE("          ", "6351", " - ", "EQUIPMENT RENTAL")</f>
        <v xml:space="preserve">          6351 - EQUIPMENT RENTAL</v>
      </c>
      <c r="C199" s="11"/>
      <c r="D199" s="7">
        <v>3055.41</v>
      </c>
      <c r="E199" s="2"/>
      <c r="F199" s="6">
        <f t="shared" si="65"/>
        <v>2.9416483680735823E-3</v>
      </c>
      <c r="G199" s="2"/>
      <c r="H199" s="7">
        <v>4196.3333333333303</v>
      </c>
      <c r="I199" s="2"/>
      <c r="J199" s="6">
        <f t="shared" si="66"/>
        <v>3.007971159412912E-3</v>
      </c>
      <c r="K199" s="2"/>
      <c r="L199" s="7">
        <f t="shared" si="67"/>
        <v>-1140.9233333333304</v>
      </c>
      <c r="M199" s="2"/>
      <c r="N199" s="6">
        <f t="shared" si="68"/>
        <v>-0.27188577329414521</v>
      </c>
      <c r="O199" s="11"/>
      <c r="P199" s="7">
        <v>26380.52</v>
      </c>
      <c r="Q199" s="2"/>
      <c r="R199" s="6">
        <f t="shared" si="69"/>
        <v>2.9299235248946322E-3</v>
      </c>
      <c r="S199" s="2"/>
      <c r="T199" s="7">
        <v>41269.333333333299</v>
      </c>
      <c r="U199" s="2"/>
      <c r="V199" s="6">
        <f t="shared" si="70"/>
        <v>2.7095276615816386E-3</v>
      </c>
      <c r="W199" s="2"/>
      <c r="X199" s="7">
        <f t="shared" si="71"/>
        <v>-14888.813333333299</v>
      </c>
      <c r="Y199" s="2"/>
      <c r="Z199" s="6">
        <f t="shared" si="72"/>
        <v>-0.36077184026880277</v>
      </c>
    </row>
    <row r="200" spans="1:26" s="25" customFormat="1" outlineLevel="1" collapsed="1" x14ac:dyDescent="0.25">
      <c r="A200" s="27"/>
      <c r="B200" s="13" t="str">
        <f>CONCATENATE("     ","Freight out/Postage                               ")</f>
        <v xml:space="preserve">     Freight out/Postage                               </v>
      </c>
      <c r="C200" s="13"/>
      <c r="D200" s="1">
        <f>SUM(OSRRefD22_10x_0)</f>
        <v>-12454.670000000002</v>
      </c>
      <c r="E200" s="1"/>
      <c r="F200" s="5">
        <f t="shared" si="65"/>
        <v>-1.1990947100518429E-2</v>
      </c>
      <c r="G200" s="1"/>
      <c r="H200" s="1">
        <f>SUM(OSRRefH22_10x_0)</f>
        <v>3001</v>
      </c>
      <c r="I200" s="1"/>
      <c r="J200" s="5">
        <f t="shared" si="66"/>
        <v>2.1511449954876847E-3</v>
      </c>
      <c r="K200" s="1"/>
      <c r="L200" s="1">
        <f t="shared" si="67"/>
        <v>-15455.670000000002</v>
      </c>
      <c r="M200" s="1"/>
      <c r="N200" s="5">
        <f t="shared" si="68"/>
        <v>-5.1501732755748089</v>
      </c>
      <c r="O200" s="13"/>
      <c r="P200" s="1">
        <f>SUM(OSRRefP22_10x_0)</f>
        <v>-45100.5</v>
      </c>
      <c r="Q200" s="1"/>
      <c r="R200" s="5">
        <f t="shared" si="69"/>
        <v>-5.009037575245308E-3</v>
      </c>
      <c r="S200" s="1"/>
      <c r="T200" s="1">
        <f>SUM(OSRRefT22_10x_0)</f>
        <v>36847</v>
      </c>
      <c r="U200" s="1"/>
      <c r="V200" s="5">
        <f t="shared" si="70"/>
        <v>2.419180482997029E-3</v>
      </c>
      <c r="W200" s="1"/>
      <c r="X200" s="1">
        <f t="shared" si="71"/>
        <v>-81947.5</v>
      </c>
      <c r="Y200" s="1"/>
      <c r="Z200" s="5">
        <f t="shared" si="72"/>
        <v>-2.223993812250658</v>
      </c>
    </row>
    <row r="201" spans="1:26" s="24" customFormat="1" hidden="1" outlineLevel="2" x14ac:dyDescent="0.25">
      <c r="A201" s="26"/>
      <c r="B201" s="11" t="str">
        <f>CONCATENATE("          ", "6305", " - ", "FREIGHT OUT")</f>
        <v xml:space="preserve">          6305 - FREIGHT OUT</v>
      </c>
      <c r="C201" s="11"/>
      <c r="D201" s="7">
        <v>22724.31</v>
      </c>
      <c r="E201" s="2"/>
      <c r="F201" s="6">
        <f t="shared" si="65"/>
        <v>2.1878219102214824E-2</v>
      </c>
      <c r="G201" s="2"/>
      <c r="H201" s="7">
        <v>5063</v>
      </c>
      <c r="I201" s="2"/>
      <c r="J201" s="6">
        <f t="shared" si="66"/>
        <v>3.6292059687284732E-3</v>
      </c>
      <c r="K201" s="2"/>
      <c r="L201" s="7">
        <f t="shared" si="67"/>
        <v>17661.310000000001</v>
      </c>
      <c r="M201" s="2"/>
      <c r="N201" s="6">
        <f t="shared" si="68"/>
        <v>3.4883093027849106</v>
      </c>
      <c r="O201" s="11"/>
      <c r="P201" s="7">
        <v>203811.23</v>
      </c>
      <c r="Q201" s="2"/>
      <c r="R201" s="6">
        <f t="shared" si="69"/>
        <v>2.2636070760345534E-2</v>
      </c>
      <c r="S201" s="2"/>
      <c r="T201" s="7">
        <v>61089</v>
      </c>
      <c r="U201" s="2"/>
      <c r="V201" s="6">
        <f t="shared" si="70"/>
        <v>4.0107828731187206E-3</v>
      </c>
      <c r="W201" s="2"/>
      <c r="X201" s="7">
        <f t="shared" si="71"/>
        <v>142722.23000000001</v>
      </c>
      <c r="Y201" s="2"/>
      <c r="Z201" s="6">
        <f t="shared" si="72"/>
        <v>2.3362999885413087</v>
      </c>
    </row>
    <row r="202" spans="1:26" s="24" customFormat="1" hidden="1" outlineLevel="2" x14ac:dyDescent="0.25">
      <c r="A202" s="26"/>
      <c r="B202" s="11" t="str">
        <f>CONCATENATE("          ", "6307", " - ", "POSTAGE")</f>
        <v xml:space="preserve">          6307 - POSTAGE</v>
      </c>
      <c r="C202" s="11"/>
      <c r="D202" s="7">
        <v>-35178.980000000003</v>
      </c>
      <c r="E202" s="2"/>
      <c r="F202" s="6">
        <f t="shared" si="65"/>
        <v>-3.3869166202733253E-2</v>
      </c>
      <c r="G202" s="2"/>
      <c r="H202" s="7">
        <v>-2062</v>
      </c>
      <c r="I202" s="2"/>
      <c r="J202" s="6">
        <f t="shared" si="66"/>
        <v>-1.4780609732407885E-3</v>
      </c>
      <c r="K202" s="2"/>
      <c r="L202" s="7">
        <f t="shared" si="67"/>
        <v>-33116.980000000003</v>
      </c>
      <c r="M202" s="2"/>
      <c r="N202" s="6">
        <f t="shared" si="68"/>
        <v>16.060611057225994</v>
      </c>
      <c r="O202" s="11"/>
      <c r="P202" s="7">
        <v>-248911.73</v>
      </c>
      <c r="Q202" s="2"/>
      <c r="R202" s="6">
        <f t="shared" si="69"/>
        <v>-2.7645108335590845E-2</v>
      </c>
      <c r="S202" s="2"/>
      <c r="T202" s="7">
        <v>-24242</v>
      </c>
      <c r="U202" s="2"/>
      <c r="V202" s="6">
        <f t="shared" si="70"/>
        <v>-1.5916023901216918E-3</v>
      </c>
      <c r="W202" s="2"/>
      <c r="X202" s="7">
        <f t="shared" si="71"/>
        <v>-224669.73</v>
      </c>
      <c r="Y202" s="2"/>
      <c r="Z202" s="6">
        <f t="shared" si="72"/>
        <v>9.2677885487996043</v>
      </c>
    </row>
    <row r="203" spans="1:26" s="25" customFormat="1" outlineLevel="1" collapsed="1" x14ac:dyDescent="0.25">
      <c r="A203" s="27"/>
      <c r="B203" s="13" t="str">
        <f>CONCATENATE("     ","General                                           ")</f>
        <v xml:space="preserve">     General                                           </v>
      </c>
      <c r="C203" s="13"/>
      <c r="D203" s="1">
        <f>SUM(OSRRefD22_11x_0)</f>
        <v>437.84</v>
      </c>
      <c r="E203" s="1"/>
      <c r="F203" s="5">
        <f t="shared" ref="F203:F206" si="73">IF(D$12=0,0,D203/D$12)</f>
        <v>4.2153796756485618E-4</v>
      </c>
      <c r="G203" s="1"/>
      <c r="H203" s="1">
        <f>SUM(OSRRefH22_11x_0)</f>
        <v>1260</v>
      </c>
      <c r="I203" s="1"/>
      <c r="J203" s="5">
        <f t="shared" ref="J203:J206" si="74">IF(H$12=0,0,H203/H$12)</f>
        <v>9.0317983815877475E-4</v>
      </c>
      <c r="K203" s="1"/>
      <c r="L203" s="1">
        <f t="shared" ref="L203:L206" si="75">+D203-H203</f>
        <v>-822.16000000000008</v>
      </c>
      <c r="M203" s="1"/>
      <c r="N203" s="5">
        <f t="shared" ref="N203:N206" si="76">IF(H203=0,0,L203/H203)</f>
        <v>-0.65250793650793659</v>
      </c>
      <c r="O203" s="13"/>
      <c r="P203" s="1">
        <f>SUM(OSRRefP22_11x_0)</f>
        <v>21372.57</v>
      </c>
      <c r="Q203" s="1"/>
      <c r="R203" s="5">
        <f t="shared" ref="R203:R206" si="77">IF(P$12=0,0,P203/P$12)</f>
        <v>2.3737210498677532E-3</v>
      </c>
      <c r="S203" s="1"/>
      <c r="T203" s="1">
        <f>SUM(OSRRefT22_11x_0)</f>
        <v>29280</v>
      </c>
      <c r="U203" s="1"/>
      <c r="V203" s="5">
        <f t="shared" ref="V203:V206" si="78">IF(T$12=0,0,T203/T$12)</f>
        <v>1.9223710082816243E-3</v>
      </c>
      <c r="W203" s="1"/>
      <c r="X203" s="1">
        <f t="shared" ref="X203:X206" si="79">+P203-T203</f>
        <v>-7907.43</v>
      </c>
      <c r="Y203" s="1"/>
      <c r="Z203" s="5">
        <f t="shared" ref="Z203:Z206" si="80">IF(T203=0,0,X203/T203)</f>
        <v>-0.27006249999999998</v>
      </c>
    </row>
    <row r="204" spans="1:26" s="24" customFormat="1" hidden="1" outlineLevel="2" x14ac:dyDescent="0.25">
      <c r="A204" s="26"/>
      <c r="B204" s="11" t="str">
        <f>CONCATENATE("          ", "6269", " - ", "ENTERTAINMENT")</f>
        <v xml:space="preserve">          6269 - ENTERTAINMENT</v>
      </c>
      <c r="C204" s="11"/>
      <c r="D204" s="7"/>
      <c r="E204" s="2"/>
      <c r="F204" s="6">
        <f t="shared" si="73"/>
        <v>0</v>
      </c>
      <c r="G204" s="2"/>
      <c r="H204" s="7"/>
      <c r="I204" s="2"/>
      <c r="J204" s="6">
        <f t="shared" si="74"/>
        <v>0</v>
      </c>
      <c r="K204" s="2"/>
      <c r="L204" s="7">
        <f t="shared" si="75"/>
        <v>0</v>
      </c>
      <c r="M204" s="2"/>
      <c r="N204" s="6">
        <f t="shared" si="76"/>
        <v>0</v>
      </c>
      <c r="O204" s="11"/>
      <c r="P204" s="7"/>
      <c r="Q204" s="2"/>
      <c r="R204" s="6">
        <f t="shared" si="77"/>
        <v>0</v>
      </c>
      <c r="S204" s="2"/>
      <c r="T204" s="7">
        <v>1500</v>
      </c>
      <c r="U204" s="2"/>
      <c r="V204" s="6">
        <f t="shared" si="78"/>
        <v>9.848212132590288E-5</v>
      </c>
      <c r="W204" s="2"/>
      <c r="X204" s="7">
        <f t="shared" si="79"/>
        <v>-1500</v>
      </c>
      <c r="Y204" s="2"/>
      <c r="Z204" s="6">
        <f t="shared" si="80"/>
        <v>-1</v>
      </c>
    </row>
    <row r="205" spans="1:26" s="24" customFormat="1" hidden="1" outlineLevel="2" x14ac:dyDescent="0.25">
      <c r="A205" s="26"/>
      <c r="B205" s="11" t="str">
        <f>CONCATENATE("          ", "6276", " - ", "PROPERTY TAX")</f>
        <v xml:space="preserve">          6276 - PROPERTY TAX</v>
      </c>
      <c r="C205" s="11"/>
      <c r="D205" s="7"/>
      <c r="E205" s="2"/>
      <c r="F205" s="6">
        <f t="shared" si="73"/>
        <v>0</v>
      </c>
      <c r="G205" s="2"/>
      <c r="H205" s="7"/>
      <c r="I205" s="2"/>
      <c r="J205" s="6">
        <f t="shared" si="74"/>
        <v>0</v>
      </c>
      <c r="K205" s="2"/>
      <c r="L205" s="7">
        <f t="shared" si="75"/>
        <v>0</v>
      </c>
      <c r="M205" s="2"/>
      <c r="N205" s="6">
        <f t="shared" si="76"/>
        <v>0</v>
      </c>
      <c r="O205" s="11"/>
      <c r="P205" s="7"/>
      <c r="Q205" s="2"/>
      <c r="R205" s="6">
        <f t="shared" si="77"/>
        <v>0</v>
      </c>
      <c r="S205" s="2"/>
      <c r="T205" s="7">
        <v>150</v>
      </c>
      <c r="U205" s="2"/>
      <c r="V205" s="6">
        <f t="shared" si="78"/>
        <v>9.8482121325902883E-6</v>
      </c>
      <c r="W205" s="2"/>
      <c r="X205" s="7">
        <f t="shared" si="79"/>
        <v>-150</v>
      </c>
      <c r="Y205" s="2"/>
      <c r="Z205" s="6">
        <f t="shared" si="80"/>
        <v>-1</v>
      </c>
    </row>
    <row r="206" spans="1:26" s="24" customFormat="1" hidden="1" outlineLevel="2" x14ac:dyDescent="0.25">
      <c r="A206" s="26"/>
      <c r="B206" s="11" t="str">
        <f>CONCATENATE("          ", "6279", " - ", "GENERAL EXPENSE")</f>
        <v xml:space="preserve">          6279 - GENERAL EXPENSE</v>
      </c>
      <c r="C206" s="11"/>
      <c r="D206" s="7">
        <v>437.84</v>
      </c>
      <c r="E206" s="2"/>
      <c r="F206" s="6">
        <f t="shared" si="73"/>
        <v>4.2153796756485618E-4</v>
      </c>
      <c r="G206" s="2"/>
      <c r="H206" s="7">
        <v>1260</v>
      </c>
      <c r="I206" s="2"/>
      <c r="J206" s="6">
        <f t="shared" si="74"/>
        <v>9.0317983815877475E-4</v>
      </c>
      <c r="K206" s="2"/>
      <c r="L206" s="7">
        <f t="shared" si="75"/>
        <v>-822.16000000000008</v>
      </c>
      <c r="M206" s="2"/>
      <c r="N206" s="6">
        <f t="shared" si="76"/>
        <v>-0.65250793650793659</v>
      </c>
      <c r="O206" s="11"/>
      <c r="P206" s="7">
        <v>21372.57</v>
      </c>
      <c r="Q206" s="2"/>
      <c r="R206" s="6">
        <f t="shared" si="77"/>
        <v>2.3737210498677532E-3</v>
      </c>
      <c r="S206" s="2"/>
      <c r="T206" s="7">
        <v>27630</v>
      </c>
      <c r="U206" s="2"/>
      <c r="V206" s="6">
        <f t="shared" si="78"/>
        <v>1.814040674823131E-3</v>
      </c>
      <c r="W206" s="2"/>
      <c r="X206" s="7">
        <f t="shared" si="79"/>
        <v>-6257.43</v>
      </c>
      <c r="Y206" s="2"/>
      <c r="Z206" s="6">
        <f t="shared" si="80"/>
        <v>-0.22647231270358306</v>
      </c>
    </row>
    <row r="207" spans="1:26" s="25" customFormat="1" outlineLevel="1" collapsed="1" x14ac:dyDescent="0.25">
      <c r="A207" s="27"/>
      <c r="B207" s="13" t="str">
        <f>CONCATENATE("     ","Insurance                                         ")</f>
        <v xml:space="preserve">     Insurance                                         </v>
      </c>
      <c r="C207" s="13"/>
      <c r="D207" s="1">
        <f>SUM(OSRRefD22_12x_0)</f>
        <v>8563.32</v>
      </c>
      <c r="E207" s="1"/>
      <c r="F207" s="5">
        <f t="shared" ref="F207:F213" si="81">IF(D$12=0,0,D207/D$12)</f>
        <v>8.2444831637298651E-3</v>
      </c>
      <c r="G207" s="1"/>
      <c r="H207" s="1">
        <f>SUM(OSRRefH22_12x_0)</f>
        <v>9321</v>
      </c>
      <c r="I207" s="1"/>
      <c r="J207" s="5">
        <f t="shared" ref="J207:J213" si="82">IF(H$12=0,0,H207/H$12)</f>
        <v>6.6813803741888403E-3</v>
      </c>
      <c r="K207" s="1"/>
      <c r="L207" s="1">
        <f t="shared" ref="L207:L213" si="83">+D207-H207</f>
        <v>-757.68000000000029</v>
      </c>
      <c r="M207" s="1"/>
      <c r="N207" s="5">
        <f t="shared" ref="N207:N213" si="84">IF(H207=0,0,L207/H207)</f>
        <v>-8.128741551335697E-2</v>
      </c>
      <c r="O207" s="13"/>
      <c r="P207" s="1">
        <f>SUM(OSRRefP22_12x_0)</f>
        <v>91745.2</v>
      </c>
      <c r="Q207" s="1"/>
      <c r="R207" s="5">
        <f t="shared" ref="R207:R213" si="85">IF(P$12=0,0,P207/P$12)</f>
        <v>1.0189580030119307E-2</v>
      </c>
      <c r="S207" s="1"/>
      <c r="T207" s="1">
        <f>SUM(OSRRefT22_12x_0)</f>
        <v>93210</v>
      </c>
      <c r="U207" s="1"/>
      <c r="V207" s="5">
        <f t="shared" ref="V207:V213" si="86">IF(T$12=0,0,T207/T$12)</f>
        <v>6.1196790191916052E-3</v>
      </c>
      <c r="W207" s="1"/>
      <c r="X207" s="1">
        <f t="shared" ref="X207:X213" si="87">+P207-T207</f>
        <v>-1464.8000000000029</v>
      </c>
      <c r="Y207" s="1"/>
      <c r="Z207" s="5">
        <f t="shared" ref="Z207:Z213" si="88">IF(T207=0,0,X207/T207)</f>
        <v>-1.5715052033043696E-2</v>
      </c>
    </row>
    <row r="208" spans="1:26" s="24" customFormat="1" hidden="1" outlineLevel="2" x14ac:dyDescent="0.25">
      <c r="A208" s="26"/>
      <c r="B208" s="11" t="str">
        <f>CONCATENATE("          ", "6314", " - ", "LIABILITY INSURANCE")</f>
        <v xml:space="preserve">          6314 - LIABILITY INSURANCE</v>
      </c>
      <c r="C208" s="11"/>
      <c r="D208" s="7">
        <v>8563.32</v>
      </c>
      <c r="E208" s="2"/>
      <c r="F208" s="6">
        <f t="shared" si="81"/>
        <v>8.2444831637298651E-3</v>
      </c>
      <c r="G208" s="2"/>
      <c r="H208" s="7">
        <v>9321</v>
      </c>
      <c r="I208" s="2"/>
      <c r="J208" s="6">
        <f t="shared" si="82"/>
        <v>6.6813803741888403E-3</v>
      </c>
      <c r="K208" s="2"/>
      <c r="L208" s="7">
        <f t="shared" si="83"/>
        <v>-757.68000000000029</v>
      </c>
      <c r="M208" s="2"/>
      <c r="N208" s="6">
        <f t="shared" si="84"/>
        <v>-8.128741551335697E-2</v>
      </c>
      <c r="O208" s="11"/>
      <c r="P208" s="7">
        <v>91745.2</v>
      </c>
      <c r="Q208" s="2"/>
      <c r="R208" s="6">
        <f t="shared" si="85"/>
        <v>1.0189580030119307E-2</v>
      </c>
      <c r="S208" s="2"/>
      <c r="T208" s="7">
        <v>93210</v>
      </c>
      <c r="U208" s="2"/>
      <c r="V208" s="6">
        <f t="shared" si="86"/>
        <v>6.1196790191916052E-3</v>
      </c>
      <c r="W208" s="2"/>
      <c r="X208" s="7">
        <f t="shared" si="87"/>
        <v>-1464.8000000000029</v>
      </c>
      <c r="Y208" s="2"/>
      <c r="Z208" s="6">
        <f t="shared" si="88"/>
        <v>-1.5715052033043696E-2</v>
      </c>
    </row>
    <row r="209" spans="1:26" s="25" customFormat="1" outlineLevel="1" collapsed="1" x14ac:dyDescent="0.25">
      <c r="A209" s="27"/>
      <c r="B209" s="13" t="str">
        <f>CONCATENATE("     ","Interest                                          ")</f>
        <v xml:space="preserve">     Interest                                          </v>
      </c>
      <c r="C209" s="13"/>
      <c r="D209" s="1">
        <f>SUM(OSRRefD22_13x_0)</f>
        <v>9180</v>
      </c>
      <c r="E209" s="1"/>
      <c r="F209" s="5">
        <f t="shared" si="81"/>
        <v>8.8382024078324951E-3</v>
      </c>
      <c r="G209" s="1"/>
      <c r="H209" s="1">
        <f>SUM(OSRRefH22_13x_0)</f>
        <v>11554</v>
      </c>
      <c r="I209" s="1"/>
      <c r="J209" s="5">
        <f t="shared" si="82"/>
        <v>8.2820157540368922E-3</v>
      </c>
      <c r="K209" s="1"/>
      <c r="L209" s="1">
        <f t="shared" si="83"/>
        <v>-2374</v>
      </c>
      <c r="M209" s="1"/>
      <c r="N209" s="5">
        <f t="shared" si="84"/>
        <v>-0.20546996711095725</v>
      </c>
      <c r="O209" s="13"/>
      <c r="P209" s="1">
        <f>SUM(OSRRefP22_13x_0)</f>
        <v>112417</v>
      </c>
      <c r="Q209" s="1"/>
      <c r="R209" s="5">
        <f t="shared" si="85"/>
        <v>1.2485470828402163E-2</v>
      </c>
      <c r="S209" s="1"/>
      <c r="T209" s="1">
        <f>SUM(OSRRefT22_13x_0)</f>
        <v>115540</v>
      </c>
      <c r="U209" s="1"/>
      <c r="V209" s="5">
        <f t="shared" si="86"/>
        <v>7.5857495319965459E-3</v>
      </c>
      <c r="W209" s="1"/>
      <c r="X209" s="1">
        <f t="shared" si="87"/>
        <v>-3123</v>
      </c>
      <c r="Y209" s="1"/>
      <c r="Z209" s="5">
        <f t="shared" si="88"/>
        <v>-2.702960013848018E-2</v>
      </c>
    </row>
    <row r="210" spans="1:26" s="24" customFormat="1" hidden="1" outlineLevel="2" x14ac:dyDescent="0.25">
      <c r="A210" s="26"/>
      <c r="B210" s="11" t="str">
        <f>CONCATENATE("          ", "6401", " - ", "INTEREST EXPENSE")</f>
        <v xml:space="preserve">          6401 - INTEREST EXPENSE</v>
      </c>
      <c r="C210" s="11"/>
      <c r="D210" s="7">
        <v>9180</v>
      </c>
      <c r="E210" s="2"/>
      <c r="F210" s="6">
        <f t="shared" si="81"/>
        <v>8.8382024078324951E-3</v>
      </c>
      <c r="G210" s="2"/>
      <c r="H210" s="7">
        <v>11554</v>
      </c>
      <c r="I210" s="2"/>
      <c r="J210" s="6">
        <f t="shared" si="82"/>
        <v>8.2820157540368922E-3</v>
      </c>
      <c r="K210" s="2"/>
      <c r="L210" s="7">
        <f t="shared" si="83"/>
        <v>-2374</v>
      </c>
      <c r="M210" s="2"/>
      <c r="N210" s="6">
        <f t="shared" si="84"/>
        <v>-0.20546996711095725</v>
      </c>
      <c r="O210" s="11"/>
      <c r="P210" s="7">
        <v>112417</v>
      </c>
      <c r="Q210" s="2"/>
      <c r="R210" s="6">
        <f t="shared" si="85"/>
        <v>1.2485470828402163E-2</v>
      </c>
      <c r="S210" s="2"/>
      <c r="T210" s="7">
        <v>115540</v>
      </c>
      <c r="U210" s="2"/>
      <c r="V210" s="6">
        <f t="shared" si="86"/>
        <v>7.5857495319965459E-3</v>
      </c>
      <c r="W210" s="2"/>
      <c r="X210" s="7">
        <f t="shared" si="87"/>
        <v>-3123</v>
      </c>
      <c r="Y210" s="2"/>
      <c r="Z210" s="6">
        <f t="shared" si="88"/>
        <v>-2.702960013848018E-2</v>
      </c>
    </row>
    <row r="211" spans="1:26" s="25" customFormat="1" outlineLevel="1" collapsed="1" x14ac:dyDescent="0.25">
      <c r="A211" s="27"/>
      <c r="B211" s="13" t="str">
        <f>CONCATENATE("     ","Inventory Adjustment                              ")</f>
        <v xml:space="preserve">     Inventory Adjustment                              </v>
      </c>
      <c r="C211" s="13"/>
      <c r="D211" s="1">
        <f>SUM(OSRRefD22_14x_0)</f>
        <v>3350</v>
      </c>
      <c r="E211" s="1"/>
      <c r="F211" s="5">
        <f t="shared" si="81"/>
        <v>3.2252699418560851E-3</v>
      </c>
      <c r="G211" s="1"/>
      <c r="H211" s="1">
        <f>SUM(OSRRefH22_14x_0)</f>
        <v>4350</v>
      </c>
      <c r="I211" s="1"/>
      <c r="J211" s="5">
        <f t="shared" si="82"/>
        <v>3.1181208698338649E-3</v>
      </c>
      <c r="K211" s="1"/>
      <c r="L211" s="1">
        <f t="shared" si="83"/>
        <v>-1000</v>
      </c>
      <c r="M211" s="1"/>
      <c r="N211" s="5">
        <f t="shared" si="84"/>
        <v>-0.22988505747126436</v>
      </c>
      <c r="O211" s="13"/>
      <c r="P211" s="1">
        <f>SUM(OSRRefP22_14x_0)</f>
        <v>38500</v>
      </c>
      <c r="Q211" s="1"/>
      <c r="R211" s="5">
        <f t="shared" si="85"/>
        <v>4.275960280860398E-3</v>
      </c>
      <c r="S211" s="1"/>
      <c r="T211" s="1">
        <f>SUM(OSRRefT22_14x_0)</f>
        <v>48500</v>
      </c>
      <c r="U211" s="1"/>
      <c r="V211" s="5">
        <f t="shared" si="86"/>
        <v>3.1842552562041933E-3</v>
      </c>
      <c r="W211" s="1"/>
      <c r="X211" s="1">
        <f t="shared" si="87"/>
        <v>-10000</v>
      </c>
      <c r="Y211" s="1"/>
      <c r="Z211" s="5">
        <f t="shared" si="88"/>
        <v>-0.20618556701030927</v>
      </c>
    </row>
    <row r="212" spans="1:26" s="24" customFormat="1" hidden="1" outlineLevel="2" x14ac:dyDescent="0.25">
      <c r="A212" s="26"/>
      <c r="B212" s="11" t="str">
        <f>CONCATENATE("          ", "6408", " - ", "INVENTORY ADJUSTMENT")</f>
        <v xml:space="preserve">          6408 - INVENTORY ADJUSTMENT</v>
      </c>
      <c r="C212" s="11"/>
      <c r="D212" s="7">
        <v>3350</v>
      </c>
      <c r="E212" s="2"/>
      <c r="F212" s="6">
        <f t="shared" si="81"/>
        <v>3.2252699418560851E-3</v>
      </c>
      <c r="G212" s="2"/>
      <c r="H212" s="7">
        <v>4350</v>
      </c>
      <c r="I212" s="2"/>
      <c r="J212" s="6">
        <f t="shared" si="82"/>
        <v>3.1181208698338649E-3</v>
      </c>
      <c r="K212" s="2"/>
      <c r="L212" s="7">
        <f t="shared" si="83"/>
        <v>-1000</v>
      </c>
      <c r="M212" s="2"/>
      <c r="N212" s="6">
        <f t="shared" si="84"/>
        <v>-0.22988505747126436</v>
      </c>
      <c r="O212" s="11"/>
      <c r="P212" s="7">
        <v>38500</v>
      </c>
      <c r="Q212" s="2"/>
      <c r="R212" s="6">
        <f t="shared" si="85"/>
        <v>4.275960280860398E-3</v>
      </c>
      <c r="S212" s="2"/>
      <c r="T212" s="7">
        <v>48500</v>
      </c>
      <c r="U212" s="2"/>
      <c r="V212" s="6">
        <f t="shared" si="86"/>
        <v>3.1842552562041933E-3</v>
      </c>
      <c r="W212" s="2"/>
      <c r="X212" s="7">
        <f t="shared" si="87"/>
        <v>-10000</v>
      </c>
      <c r="Y212" s="2"/>
      <c r="Z212" s="6">
        <f t="shared" si="88"/>
        <v>-0.20618556701030927</v>
      </c>
    </row>
    <row r="213" spans="1:26" s="24" customFormat="1" hidden="1" outlineLevel="2" x14ac:dyDescent="0.25">
      <c r="A213" s="26"/>
      <c r="B213" s="11" t="str">
        <f>CONCATENATE("          ", "7741", " - ", "INV. SHRINKAGE-LOGO GIFTS")</f>
        <v xml:space="preserve">          7741 - INV. SHRINKAGE-LOGO GIFTS</v>
      </c>
      <c r="C213" s="11"/>
      <c r="D213" s="7"/>
      <c r="E213" s="2"/>
      <c r="F213" s="6">
        <f t="shared" si="81"/>
        <v>0</v>
      </c>
      <c r="G213" s="2"/>
      <c r="H213" s="7"/>
      <c r="I213" s="2"/>
      <c r="J213" s="6">
        <f t="shared" si="82"/>
        <v>0</v>
      </c>
      <c r="K213" s="2"/>
      <c r="L213" s="7">
        <f t="shared" si="83"/>
        <v>0</v>
      </c>
      <c r="M213" s="2"/>
      <c r="N213" s="6">
        <f t="shared" si="84"/>
        <v>0</v>
      </c>
      <c r="O213" s="11"/>
      <c r="P213" s="7">
        <v>0</v>
      </c>
      <c r="Q213" s="2"/>
      <c r="R213" s="6">
        <f t="shared" si="85"/>
        <v>0</v>
      </c>
      <c r="S213" s="2"/>
      <c r="T213" s="7"/>
      <c r="U213" s="2"/>
      <c r="V213" s="6">
        <f t="shared" si="86"/>
        <v>0</v>
      </c>
      <c r="W213" s="2"/>
      <c r="X213" s="7">
        <f t="shared" si="87"/>
        <v>0</v>
      </c>
      <c r="Y213" s="2"/>
      <c r="Z213" s="6">
        <f t="shared" si="88"/>
        <v>0</v>
      </c>
    </row>
    <row r="214" spans="1:26" s="25" customFormat="1" outlineLevel="1" collapsed="1" x14ac:dyDescent="0.25">
      <c r="A214" s="27"/>
      <c r="B214" s="13" t="str">
        <f>CONCATENATE("     ","Professional Services                             ")</f>
        <v xml:space="preserve">     Professional Services                             </v>
      </c>
      <c r="C214" s="13"/>
      <c r="D214" s="1">
        <f>SUM(OSRRefD22_15x_0)</f>
        <v>0</v>
      </c>
      <c r="E214" s="1"/>
      <c r="F214" s="5">
        <f t="shared" ref="F214:F224" si="89">IF(D$12=0,0,D214/D$12)</f>
        <v>0</v>
      </c>
      <c r="G214" s="1"/>
      <c r="H214" s="1">
        <f>SUM(OSRRefH22_15x_0)</f>
        <v>250</v>
      </c>
      <c r="I214" s="1"/>
      <c r="J214" s="5">
        <f t="shared" ref="J214:J224" si="90">IF(H$12=0,0,H214/H$12)</f>
        <v>1.7920234884102673E-4</v>
      </c>
      <c r="K214" s="1"/>
      <c r="L214" s="1">
        <f t="shared" ref="L214:L224" si="91">+D214-H214</f>
        <v>-250</v>
      </c>
      <c r="M214" s="1"/>
      <c r="N214" s="5">
        <f t="shared" ref="N214:N224" si="92">IF(H214=0,0,L214/H214)</f>
        <v>-1</v>
      </c>
      <c r="O214" s="13"/>
      <c r="P214" s="1">
        <f>SUM(OSRRefP22_15x_0)</f>
        <v>0</v>
      </c>
      <c r="Q214" s="1"/>
      <c r="R214" s="5">
        <f t="shared" ref="R214:R224" si="93">IF(P$12=0,0,P214/P$12)</f>
        <v>0</v>
      </c>
      <c r="S214" s="1"/>
      <c r="T214" s="1">
        <f>SUM(OSRRefT22_15x_0)</f>
        <v>7300</v>
      </c>
      <c r="U214" s="1"/>
      <c r="V214" s="5">
        <f t="shared" ref="V214:V224" si="94">IF(T$12=0,0,T214/T$12)</f>
        <v>4.7927965711939399E-4</v>
      </c>
      <c r="W214" s="1"/>
      <c r="X214" s="1">
        <f t="shared" ref="X214:X224" si="95">+P214-T214</f>
        <v>-7300</v>
      </c>
      <c r="Y214" s="1"/>
      <c r="Z214" s="5">
        <f t="shared" ref="Z214:Z224" si="96">IF(T214=0,0,X214/T214)</f>
        <v>-1</v>
      </c>
    </row>
    <row r="215" spans="1:26" s="24" customFormat="1" hidden="1" outlineLevel="2" x14ac:dyDescent="0.25">
      <c r="A215" s="26"/>
      <c r="B215" s="11" t="str">
        <f>CONCATENATE("          ", "6336", " - ", "PROFESSIONAL SERVICES")</f>
        <v xml:space="preserve">          6336 - PROFESSIONAL SERVICES</v>
      </c>
      <c r="C215" s="11"/>
      <c r="D215" s="7"/>
      <c r="E215" s="2"/>
      <c r="F215" s="6">
        <f t="shared" si="89"/>
        <v>0</v>
      </c>
      <c r="G215" s="2"/>
      <c r="H215" s="7">
        <v>250</v>
      </c>
      <c r="I215" s="2"/>
      <c r="J215" s="6">
        <f t="shared" si="90"/>
        <v>1.7920234884102673E-4</v>
      </c>
      <c r="K215" s="2"/>
      <c r="L215" s="7">
        <f t="shared" si="91"/>
        <v>-250</v>
      </c>
      <c r="M215" s="2"/>
      <c r="N215" s="6">
        <f t="shared" si="92"/>
        <v>-1</v>
      </c>
      <c r="O215" s="11"/>
      <c r="P215" s="7"/>
      <c r="Q215" s="2"/>
      <c r="R215" s="6">
        <f t="shared" si="93"/>
        <v>0</v>
      </c>
      <c r="S215" s="2"/>
      <c r="T215" s="7">
        <v>7300</v>
      </c>
      <c r="U215" s="2"/>
      <c r="V215" s="6">
        <f t="shared" si="94"/>
        <v>4.7927965711939399E-4</v>
      </c>
      <c r="W215" s="2"/>
      <c r="X215" s="7">
        <f t="shared" si="95"/>
        <v>-7300</v>
      </c>
      <c r="Y215" s="2"/>
      <c r="Z215" s="6">
        <f t="shared" si="96"/>
        <v>-1</v>
      </c>
    </row>
    <row r="216" spans="1:26" s="25" customFormat="1" outlineLevel="1" collapsed="1" x14ac:dyDescent="0.25">
      <c r="A216" s="27"/>
      <c r="B216" s="13" t="str">
        <f>CONCATENATE("     ","R/H Commissions                                   ")</f>
        <v xml:space="preserve">     R/H Commissions                                   </v>
      </c>
      <c r="C216" s="13"/>
      <c r="D216" s="1">
        <f>SUM(OSRRefD22_16x_0)</f>
        <v>6627.19</v>
      </c>
      <c r="E216" s="1"/>
      <c r="F216" s="5">
        <f t="shared" si="89"/>
        <v>6.3804408077520079E-3</v>
      </c>
      <c r="G216" s="1"/>
      <c r="H216" s="1">
        <f>SUM(OSRRefH22_16x_0)</f>
        <v>40097</v>
      </c>
      <c r="I216" s="1"/>
      <c r="J216" s="5">
        <f t="shared" si="90"/>
        <v>2.8741906325914595E-2</v>
      </c>
      <c r="K216" s="1"/>
      <c r="L216" s="1">
        <f t="shared" si="91"/>
        <v>-33469.81</v>
      </c>
      <c r="M216" s="1"/>
      <c r="N216" s="5">
        <f t="shared" si="92"/>
        <v>-0.83472105145023312</v>
      </c>
      <c r="O216" s="13"/>
      <c r="P216" s="1">
        <f>SUM(OSRRefP22_16x_0)</f>
        <v>65639.789999999994</v>
      </c>
      <c r="Q216" s="1"/>
      <c r="R216" s="5">
        <f t="shared" si="93"/>
        <v>7.2902112956887656E-3</v>
      </c>
      <c r="S216" s="1"/>
      <c r="T216" s="1">
        <f>SUM(OSRRefT22_16x_0)</f>
        <v>294096</v>
      </c>
      <c r="U216" s="1"/>
      <c r="V216" s="5">
        <f t="shared" si="94"/>
        <v>1.9308798635641822E-2</v>
      </c>
      <c r="W216" s="1"/>
      <c r="X216" s="1">
        <f t="shared" si="95"/>
        <v>-228456.21000000002</v>
      </c>
      <c r="Y216" s="1"/>
      <c r="Z216" s="5">
        <f t="shared" si="96"/>
        <v>-0.77680828708992988</v>
      </c>
    </row>
    <row r="217" spans="1:26" s="24" customFormat="1" hidden="1" outlineLevel="2" x14ac:dyDescent="0.25">
      <c r="A217" s="26"/>
      <c r="B217" s="11" t="str">
        <f>CONCATENATE("          ", "6387", " - ", "COMMISSION DUE HOUSING")</f>
        <v xml:space="preserve">          6387 - COMMISSION DUE HOUSING</v>
      </c>
      <c r="C217" s="11"/>
      <c r="D217" s="7">
        <v>6627.19</v>
      </c>
      <c r="E217" s="2"/>
      <c r="F217" s="6">
        <f t="shared" si="89"/>
        <v>6.3804408077520079E-3</v>
      </c>
      <c r="G217" s="2"/>
      <c r="H217" s="7">
        <v>40097</v>
      </c>
      <c r="I217" s="2"/>
      <c r="J217" s="6">
        <f t="shared" si="90"/>
        <v>2.8741906325914595E-2</v>
      </c>
      <c r="K217" s="2"/>
      <c r="L217" s="7">
        <f t="shared" si="91"/>
        <v>-33469.81</v>
      </c>
      <c r="M217" s="2"/>
      <c r="N217" s="6">
        <f t="shared" si="92"/>
        <v>-0.83472105145023312</v>
      </c>
      <c r="O217" s="11"/>
      <c r="P217" s="7">
        <v>65639.789999999994</v>
      </c>
      <c r="Q217" s="2"/>
      <c r="R217" s="6">
        <f t="shared" si="93"/>
        <v>7.2902112956887656E-3</v>
      </c>
      <c r="S217" s="2"/>
      <c r="T217" s="7">
        <v>294096</v>
      </c>
      <c r="U217" s="2"/>
      <c r="V217" s="6">
        <f t="shared" si="94"/>
        <v>1.9308798635641822E-2</v>
      </c>
      <c r="W217" s="2"/>
      <c r="X217" s="7">
        <f t="shared" si="95"/>
        <v>-228456.21000000002</v>
      </c>
      <c r="Y217" s="2"/>
      <c r="Z217" s="6">
        <f t="shared" si="96"/>
        <v>-0.77680828708992988</v>
      </c>
    </row>
    <row r="218" spans="1:26" s="25" customFormat="1" outlineLevel="1" collapsed="1" x14ac:dyDescent="0.25">
      <c r="A218" s="27"/>
      <c r="B218" s="13" t="str">
        <f>CONCATENATE("     ","Rent                                              ")</f>
        <v xml:space="preserve">     Rent                                              </v>
      </c>
      <c r="C218" s="13"/>
      <c r="D218" s="1">
        <f>SUM(OSRRefD22_17x_0)</f>
        <v>8750</v>
      </c>
      <c r="E218" s="1"/>
      <c r="F218" s="5">
        <f t="shared" si="89"/>
        <v>8.4242125346987301E-3</v>
      </c>
      <c r="G218" s="1"/>
      <c r="H218" s="1">
        <f>SUM(OSRRefH22_17x_0)</f>
        <v>8843</v>
      </c>
      <c r="I218" s="1"/>
      <c r="J218" s="5">
        <f t="shared" si="90"/>
        <v>6.3387454832047972E-3</v>
      </c>
      <c r="K218" s="1"/>
      <c r="L218" s="1">
        <f t="shared" si="91"/>
        <v>-93</v>
      </c>
      <c r="M218" s="1"/>
      <c r="N218" s="5">
        <f t="shared" si="92"/>
        <v>-1.0516792943571187E-2</v>
      </c>
      <c r="O218" s="13"/>
      <c r="P218" s="1">
        <f>SUM(OSRRefP22_17x_0)</f>
        <v>81950</v>
      </c>
      <c r="Q218" s="1"/>
      <c r="R218" s="5">
        <f t="shared" si="93"/>
        <v>9.1016868835457031E-3</v>
      </c>
      <c r="S218" s="1"/>
      <c r="T218" s="1">
        <f>SUM(OSRRefT22_17x_0)</f>
        <v>88431</v>
      </c>
      <c r="U218" s="1"/>
      <c r="V218" s="5">
        <f t="shared" si="94"/>
        <v>5.8059149806472784E-3</v>
      </c>
      <c r="W218" s="1"/>
      <c r="X218" s="1">
        <f t="shared" si="95"/>
        <v>-6481</v>
      </c>
      <c r="Y218" s="1"/>
      <c r="Z218" s="5">
        <f t="shared" si="96"/>
        <v>-7.3288778821906347E-2</v>
      </c>
    </row>
    <row r="219" spans="1:26" s="24" customFormat="1" hidden="1" outlineLevel="2" x14ac:dyDescent="0.25">
      <c r="A219" s="26"/>
      <c r="B219" s="11" t="str">
        <f>CONCATENATE("          ", "6273", " - ", "RENT")</f>
        <v xml:space="preserve">          6273 - RENT</v>
      </c>
      <c r="C219" s="11"/>
      <c r="D219" s="7">
        <v>8750</v>
      </c>
      <c r="E219" s="2"/>
      <c r="F219" s="6">
        <f t="shared" si="89"/>
        <v>8.4242125346987301E-3</v>
      </c>
      <c r="G219" s="2"/>
      <c r="H219" s="7">
        <v>8843</v>
      </c>
      <c r="I219" s="2"/>
      <c r="J219" s="6">
        <f t="shared" si="90"/>
        <v>6.3387454832047972E-3</v>
      </c>
      <c r="K219" s="2"/>
      <c r="L219" s="7">
        <f t="shared" si="91"/>
        <v>-93</v>
      </c>
      <c r="M219" s="2"/>
      <c r="N219" s="6">
        <f t="shared" si="92"/>
        <v>-1.0516792943571187E-2</v>
      </c>
      <c r="O219" s="11"/>
      <c r="P219" s="7">
        <v>81950</v>
      </c>
      <c r="Q219" s="2"/>
      <c r="R219" s="6">
        <f t="shared" si="93"/>
        <v>9.1016868835457031E-3</v>
      </c>
      <c r="S219" s="2"/>
      <c r="T219" s="7">
        <v>88431</v>
      </c>
      <c r="U219" s="2"/>
      <c r="V219" s="6">
        <f t="shared" si="94"/>
        <v>5.8059149806472784E-3</v>
      </c>
      <c r="W219" s="2"/>
      <c r="X219" s="7">
        <f t="shared" si="95"/>
        <v>-6481</v>
      </c>
      <c r="Y219" s="2"/>
      <c r="Z219" s="6">
        <f t="shared" si="96"/>
        <v>-7.3288778821906347E-2</v>
      </c>
    </row>
    <row r="220" spans="1:26" s="25" customFormat="1" outlineLevel="1" collapsed="1" x14ac:dyDescent="0.25">
      <c r="A220" s="27"/>
      <c r="B220" s="13" t="str">
        <f>CONCATENATE("     ","Repair and Maintenance                            ")</f>
        <v xml:space="preserve">     Repair and Maintenance                            </v>
      </c>
      <c r="C220" s="13"/>
      <c r="D220" s="1">
        <f>SUM(OSRRefD22_18x_0)</f>
        <v>8099.35</v>
      </c>
      <c r="E220" s="1"/>
      <c r="F220" s="5">
        <f t="shared" si="89"/>
        <v>7.7977880906185326E-3</v>
      </c>
      <c r="G220" s="1"/>
      <c r="H220" s="1">
        <f>SUM(OSRRefH22_18x_0)</f>
        <v>17453</v>
      </c>
      <c r="I220" s="1"/>
      <c r="J220" s="5">
        <f t="shared" si="90"/>
        <v>1.2510474377289757E-2</v>
      </c>
      <c r="K220" s="1"/>
      <c r="L220" s="1">
        <f t="shared" si="91"/>
        <v>-9353.65</v>
      </c>
      <c r="M220" s="1"/>
      <c r="N220" s="5">
        <f t="shared" si="92"/>
        <v>-0.53593365037529361</v>
      </c>
      <c r="O220" s="13"/>
      <c r="P220" s="1">
        <f>SUM(OSRRefP22_18x_0)</f>
        <v>353256.76</v>
      </c>
      <c r="Q220" s="1"/>
      <c r="R220" s="5">
        <f t="shared" si="93"/>
        <v>3.9234074667673612E-2</v>
      </c>
      <c r="S220" s="1"/>
      <c r="T220" s="1">
        <f>SUM(OSRRefT22_18x_0)</f>
        <v>432218</v>
      </c>
      <c r="U220" s="1"/>
      <c r="V220" s="5">
        <f t="shared" si="94"/>
        <v>2.8377163676826061E-2</v>
      </c>
      <c r="W220" s="1"/>
      <c r="X220" s="1">
        <f t="shared" si="95"/>
        <v>-78961.239999999991</v>
      </c>
      <c r="Y220" s="1"/>
      <c r="Z220" s="5">
        <f t="shared" si="96"/>
        <v>-0.18268845813917975</v>
      </c>
    </row>
    <row r="221" spans="1:26" s="24" customFormat="1" hidden="1" outlineLevel="2" x14ac:dyDescent="0.25">
      <c r="A221" s="26"/>
      <c r="B221" s="11" t="str">
        <f>CONCATENATE("          ", "6371", " - ", "COMPUTER SOFTWARE MAINTENANCE")</f>
        <v xml:space="preserve">          6371 - COMPUTER SOFTWARE MAINTENANCE</v>
      </c>
      <c r="C221" s="11"/>
      <c r="D221" s="7">
        <v>3500</v>
      </c>
      <c r="E221" s="2"/>
      <c r="F221" s="6">
        <f t="shared" si="89"/>
        <v>3.369685013879492E-3</v>
      </c>
      <c r="G221" s="2"/>
      <c r="H221" s="7"/>
      <c r="I221" s="2"/>
      <c r="J221" s="6">
        <f t="shared" si="90"/>
        <v>0</v>
      </c>
      <c r="K221" s="2"/>
      <c r="L221" s="7">
        <f t="shared" si="91"/>
        <v>3500</v>
      </c>
      <c r="M221" s="2"/>
      <c r="N221" s="6">
        <f t="shared" si="92"/>
        <v>0</v>
      </c>
      <c r="O221" s="11"/>
      <c r="P221" s="7">
        <v>79519.990000000005</v>
      </c>
      <c r="Q221" s="2"/>
      <c r="R221" s="6">
        <f t="shared" si="93"/>
        <v>8.8318004876471699E-3</v>
      </c>
      <c r="S221" s="2"/>
      <c r="T221" s="7">
        <v>226788</v>
      </c>
      <c r="U221" s="2"/>
      <c r="V221" s="6">
        <f t="shared" si="94"/>
        <v>1.4889708887505909E-2</v>
      </c>
      <c r="W221" s="2"/>
      <c r="X221" s="7">
        <f t="shared" si="95"/>
        <v>-147268.01</v>
      </c>
      <c r="Y221" s="2"/>
      <c r="Z221" s="6">
        <f t="shared" si="96"/>
        <v>-0.64936420798278571</v>
      </c>
    </row>
    <row r="222" spans="1:26" s="24" customFormat="1" hidden="1" outlineLevel="2" x14ac:dyDescent="0.25">
      <c r="A222" s="26"/>
      <c r="B222" s="11" t="str">
        <f>CONCATENATE("          ", "6372", " - ", "COMPUTER HARDWARE MAINTENANCE")</f>
        <v xml:space="preserve">          6372 - COMPUTER HARDWARE MAINTENANCE</v>
      </c>
      <c r="C222" s="11"/>
      <c r="D222" s="7"/>
      <c r="E222" s="2"/>
      <c r="F222" s="6">
        <f t="shared" si="89"/>
        <v>0</v>
      </c>
      <c r="G222" s="2"/>
      <c r="H222" s="7">
        <v>1500</v>
      </c>
      <c r="I222" s="2"/>
      <c r="J222" s="6">
        <f t="shared" si="90"/>
        <v>1.0752140930461603E-3</v>
      </c>
      <c r="K222" s="2"/>
      <c r="L222" s="7">
        <f t="shared" si="91"/>
        <v>-1500</v>
      </c>
      <c r="M222" s="2"/>
      <c r="N222" s="6">
        <f t="shared" si="92"/>
        <v>-1</v>
      </c>
      <c r="O222" s="11"/>
      <c r="P222" s="7">
        <v>98.85</v>
      </c>
      <c r="Q222" s="2"/>
      <c r="R222" s="6">
        <f t="shared" si="93"/>
        <v>1.0978666850988319E-5</v>
      </c>
      <c r="S222" s="2"/>
      <c r="T222" s="7">
        <v>18520</v>
      </c>
      <c r="U222" s="2"/>
      <c r="V222" s="6">
        <f t="shared" si="94"/>
        <v>1.2159259246371475E-3</v>
      </c>
      <c r="W222" s="2"/>
      <c r="X222" s="7">
        <f t="shared" si="95"/>
        <v>-18421.150000000001</v>
      </c>
      <c r="Y222" s="2"/>
      <c r="Z222" s="6">
        <f t="shared" si="96"/>
        <v>-0.9946625269978403</v>
      </c>
    </row>
    <row r="223" spans="1:26" s="24" customFormat="1" hidden="1" outlineLevel="2" x14ac:dyDescent="0.25">
      <c r="A223" s="26"/>
      <c r="B223" s="11" t="str">
        <f>CONCATENATE("          ", "6373", " - ", "MAINTENANCE CONTRACTS")</f>
        <v xml:space="preserve">          6373 - MAINTENANCE CONTRACTS</v>
      </c>
      <c r="C223" s="11"/>
      <c r="D223" s="7">
        <v>1441.34</v>
      </c>
      <c r="E223" s="2"/>
      <c r="F223" s="6">
        <f t="shared" si="89"/>
        <v>1.3876747994014476E-3</v>
      </c>
      <c r="G223" s="2"/>
      <c r="H223" s="7">
        <v>5798</v>
      </c>
      <c r="I223" s="2"/>
      <c r="J223" s="6">
        <f t="shared" si="90"/>
        <v>4.1560608743210917E-3</v>
      </c>
      <c r="K223" s="2"/>
      <c r="L223" s="7">
        <f t="shared" si="91"/>
        <v>-4356.66</v>
      </c>
      <c r="M223" s="2"/>
      <c r="N223" s="6">
        <f t="shared" si="92"/>
        <v>-0.75140738185581235</v>
      </c>
      <c r="O223" s="11"/>
      <c r="P223" s="7">
        <v>211773.97</v>
      </c>
      <c r="Q223" s="2"/>
      <c r="R223" s="6">
        <f t="shared" si="93"/>
        <v>2.3520443746496662E-2</v>
      </c>
      <c r="S223" s="2"/>
      <c r="T223" s="7">
        <v>75480</v>
      </c>
      <c r="U223" s="2"/>
      <c r="V223" s="6">
        <f t="shared" si="94"/>
        <v>4.955620345119433E-3</v>
      </c>
      <c r="W223" s="2"/>
      <c r="X223" s="7">
        <f t="shared" si="95"/>
        <v>136293.97</v>
      </c>
      <c r="Y223" s="2"/>
      <c r="Z223" s="6">
        <f t="shared" si="96"/>
        <v>1.8056964758876524</v>
      </c>
    </row>
    <row r="224" spans="1:26" s="24" customFormat="1" hidden="1" outlineLevel="2" x14ac:dyDescent="0.25">
      <c r="A224" s="26"/>
      <c r="B224" s="11" t="str">
        <f>CONCATENATE("          ", "6375", " - ", "OUTSIDE REPAIRS &amp; MAINTENANCE")</f>
        <v xml:space="preserve">          6375 - OUTSIDE REPAIRS &amp; MAINTENANCE</v>
      </c>
      <c r="C224" s="11"/>
      <c r="D224" s="7">
        <v>3158.01</v>
      </c>
      <c r="E224" s="2"/>
      <c r="F224" s="6">
        <f t="shared" si="89"/>
        <v>3.040428277337593E-3</v>
      </c>
      <c r="G224" s="2"/>
      <c r="H224" s="7">
        <v>10155</v>
      </c>
      <c r="I224" s="2"/>
      <c r="J224" s="6">
        <f t="shared" si="90"/>
        <v>7.2791994099225057E-3</v>
      </c>
      <c r="K224" s="2"/>
      <c r="L224" s="7">
        <f t="shared" si="91"/>
        <v>-6996.99</v>
      </c>
      <c r="M224" s="2"/>
      <c r="N224" s="6">
        <f t="shared" si="92"/>
        <v>-0.68901920236336778</v>
      </c>
      <c r="O224" s="11"/>
      <c r="P224" s="7">
        <v>61863.95</v>
      </c>
      <c r="Q224" s="2"/>
      <c r="R224" s="6">
        <f t="shared" si="93"/>
        <v>6.8708517666787941E-3</v>
      </c>
      <c r="S224" s="2"/>
      <c r="T224" s="7">
        <v>111430</v>
      </c>
      <c r="U224" s="2"/>
      <c r="V224" s="6">
        <f t="shared" si="94"/>
        <v>7.3159085195635722E-3</v>
      </c>
      <c r="W224" s="2"/>
      <c r="X224" s="7">
        <f t="shared" si="95"/>
        <v>-49566.05</v>
      </c>
      <c r="Y224" s="2"/>
      <c r="Z224" s="6">
        <f t="shared" si="96"/>
        <v>-0.44481782284842503</v>
      </c>
    </row>
    <row r="225" spans="1:26" s="25" customFormat="1" outlineLevel="1" collapsed="1" x14ac:dyDescent="0.25">
      <c r="A225" s="27"/>
      <c r="B225" s="13" t="str">
        <f>CONCATENATE("     ","Royalty &amp; Commissions                             ")</f>
        <v xml:space="preserve">     Royalty &amp; Commissions                             </v>
      </c>
      <c r="C225" s="13"/>
      <c r="D225" s="1">
        <f>SUM(OSRRefD22_19x_0)</f>
        <v>11531.75</v>
      </c>
      <c r="E225" s="1"/>
      <c r="F225" s="5">
        <f t="shared" ref="F225:F229" si="97">IF(D$12=0,0,D225/D$12)</f>
        <v>1.1102390045372808E-2</v>
      </c>
      <c r="G225" s="1"/>
      <c r="H225" s="1">
        <f>SUM(OSRRefH22_19x_0)</f>
        <v>16522</v>
      </c>
      <c r="I225" s="1"/>
      <c r="J225" s="5">
        <f t="shared" ref="J225:J229" si="98">IF(H$12=0,0,H225/H$12)</f>
        <v>1.1843124830205774E-2</v>
      </c>
      <c r="K225" s="1"/>
      <c r="L225" s="1">
        <f t="shared" ref="L225:L229" si="99">+D225-H225</f>
        <v>-4990.25</v>
      </c>
      <c r="M225" s="1"/>
      <c r="N225" s="5">
        <f t="shared" ref="N225:N229" si="100">IF(H225=0,0,L225/H225)</f>
        <v>-0.30203667836823628</v>
      </c>
      <c r="O225" s="13"/>
      <c r="P225" s="1">
        <f>SUM(OSRRefP22_19x_0)</f>
        <v>48578.649999999994</v>
      </c>
      <c r="Q225" s="1"/>
      <c r="R225" s="5">
        <f t="shared" ref="R225:R229" si="101">IF(P$12=0,0,P225/P$12)</f>
        <v>5.3953344908524393E-3</v>
      </c>
      <c r="S225" s="1"/>
      <c r="T225" s="1">
        <f>SUM(OSRRefT22_19x_0)</f>
        <v>104513</v>
      </c>
      <c r="U225" s="1"/>
      <c r="V225" s="5">
        <f t="shared" ref="V225:V229" si="102">IF(T$12=0,0,T225/T$12)</f>
        <v>6.8617746307560587E-3</v>
      </c>
      <c r="W225" s="1"/>
      <c r="X225" s="1">
        <f t="shared" ref="X225:X229" si="103">+P225-T225</f>
        <v>-55934.350000000006</v>
      </c>
      <c r="Y225" s="1"/>
      <c r="Z225" s="5">
        <f t="shared" ref="Z225:Z229" si="104">IF(T225=0,0,X225/T225)</f>
        <v>-0.53519035909408408</v>
      </c>
    </row>
    <row r="226" spans="1:26" s="24" customFormat="1" hidden="1" outlineLevel="2" x14ac:dyDescent="0.25">
      <c r="A226" s="26"/>
      <c r="B226" s="11" t="str">
        <f>CONCATENATE("          ", "6252", " - ", "ROYALTY DUE CSTV")</f>
        <v xml:space="preserve">          6252 - ROYALTY DUE CSTV</v>
      </c>
      <c r="C226" s="11"/>
      <c r="D226" s="7"/>
      <c r="E226" s="2"/>
      <c r="F226" s="6">
        <f t="shared" si="97"/>
        <v>0</v>
      </c>
      <c r="G226" s="2"/>
      <c r="H226" s="7">
        <v>1085</v>
      </c>
      <c r="I226" s="2"/>
      <c r="J226" s="6">
        <f t="shared" si="98"/>
        <v>7.7773819397005599E-4</v>
      </c>
      <c r="K226" s="2"/>
      <c r="L226" s="7">
        <f t="shared" si="99"/>
        <v>-1085</v>
      </c>
      <c r="M226" s="2"/>
      <c r="N226" s="6">
        <f t="shared" si="100"/>
        <v>-1</v>
      </c>
      <c r="O226" s="11"/>
      <c r="P226" s="7"/>
      <c r="Q226" s="2"/>
      <c r="R226" s="6">
        <f t="shared" si="101"/>
        <v>0</v>
      </c>
      <c r="S226" s="2"/>
      <c r="T226" s="7">
        <v>10850</v>
      </c>
      <c r="U226" s="2"/>
      <c r="V226" s="6">
        <f t="shared" si="102"/>
        <v>7.1235401092403078E-4</v>
      </c>
      <c r="W226" s="2"/>
      <c r="X226" s="7">
        <f t="shared" si="103"/>
        <v>-10850</v>
      </c>
      <c r="Y226" s="2"/>
      <c r="Z226" s="6">
        <f t="shared" si="104"/>
        <v>-1</v>
      </c>
    </row>
    <row r="227" spans="1:26" s="24" customFormat="1" hidden="1" outlineLevel="2" x14ac:dyDescent="0.25">
      <c r="A227" s="26"/>
      <c r="B227" s="11" t="str">
        <f>CONCATENATE("          ", "6253", " - ", "ROYALTY DUE ATHLETICS-LRG")</f>
        <v xml:space="preserve">          6253 - ROYALTY DUE ATHLETICS-LRG</v>
      </c>
      <c r="C227" s="11"/>
      <c r="D227" s="7">
        <v>8961.48</v>
      </c>
      <c r="E227" s="2"/>
      <c r="F227" s="6">
        <f t="shared" si="97"/>
        <v>8.6278185309087967E-3</v>
      </c>
      <c r="G227" s="2"/>
      <c r="H227" s="7">
        <v>4037</v>
      </c>
      <c r="I227" s="2"/>
      <c r="J227" s="6">
        <f t="shared" si="98"/>
        <v>2.8937595290848997E-3</v>
      </c>
      <c r="K227" s="2"/>
      <c r="L227" s="7">
        <f t="shared" si="99"/>
        <v>4924.4799999999996</v>
      </c>
      <c r="M227" s="2"/>
      <c r="N227" s="6">
        <f t="shared" si="100"/>
        <v>1.2198365122615802</v>
      </c>
      <c r="O227" s="11"/>
      <c r="P227" s="7">
        <v>35159.06</v>
      </c>
      <c r="Q227" s="2"/>
      <c r="R227" s="6">
        <f t="shared" si="101"/>
        <v>3.9049024434386378E-3</v>
      </c>
      <c r="S227" s="2"/>
      <c r="T227" s="7">
        <v>40370</v>
      </c>
      <c r="U227" s="2"/>
      <c r="V227" s="6">
        <f t="shared" si="102"/>
        <v>2.6504821586177995E-3</v>
      </c>
      <c r="W227" s="2"/>
      <c r="X227" s="7">
        <f t="shared" si="103"/>
        <v>-5210.9400000000023</v>
      </c>
      <c r="Y227" s="2"/>
      <c r="Z227" s="6">
        <f t="shared" si="104"/>
        <v>-0.1290795144909587</v>
      </c>
    </row>
    <row r="228" spans="1:26" s="24" customFormat="1" hidden="1" outlineLevel="2" x14ac:dyDescent="0.25">
      <c r="A228" s="26"/>
      <c r="B228" s="11" t="str">
        <f>CONCATENATE("          ", "6254", " - ", "ROYALTY &amp; COMMISSIONS")</f>
        <v xml:space="preserve">          6254 - ROYALTY &amp; COMMISSIONS</v>
      </c>
      <c r="C228" s="11"/>
      <c r="D228" s="7"/>
      <c r="E228" s="2"/>
      <c r="F228" s="6">
        <f t="shared" si="97"/>
        <v>0</v>
      </c>
      <c r="G228" s="2"/>
      <c r="H228" s="7">
        <v>1149</v>
      </c>
      <c r="I228" s="2"/>
      <c r="J228" s="6">
        <f t="shared" si="98"/>
        <v>8.2361399527335879E-4</v>
      </c>
      <c r="K228" s="2"/>
      <c r="L228" s="7">
        <f t="shared" si="99"/>
        <v>-1149</v>
      </c>
      <c r="M228" s="2"/>
      <c r="N228" s="6">
        <f t="shared" si="100"/>
        <v>-1</v>
      </c>
      <c r="O228" s="11"/>
      <c r="P228" s="7">
        <v>185.7</v>
      </c>
      <c r="Q228" s="2"/>
      <c r="R228" s="6">
        <f t="shared" si="101"/>
        <v>2.0624566861188981E-5</v>
      </c>
      <c r="S228" s="2"/>
      <c r="T228" s="7">
        <v>11490</v>
      </c>
      <c r="U228" s="2"/>
      <c r="V228" s="6">
        <f t="shared" si="102"/>
        <v>7.54373049356416E-4</v>
      </c>
      <c r="W228" s="2"/>
      <c r="X228" s="7">
        <f t="shared" si="103"/>
        <v>-11304.3</v>
      </c>
      <c r="Y228" s="2"/>
      <c r="Z228" s="6">
        <f t="shared" si="104"/>
        <v>-0.98383812010443861</v>
      </c>
    </row>
    <row r="229" spans="1:26" s="24" customFormat="1" hidden="1" outlineLevel="2" x14ac:dyDescent="0.25">
      <c r="A229" s="26"/>
      <c r="B229" s="11" t="str">
        <f>CONCATENATE("          ", "6259", " - ", "ROYALTY &amp; COMMISSIONS")</f>
        <v xml:space="preserve">          6259 - ROYALTY &amp; COMMISSIONS</v>
      </c>
      <c r="C229" s="11"/>
      <c r="D229" s="7">
        <v>2570.27</v>
      </c>
      <c r="E229" s="2"/>
      <c r="F229" s="6">
        <f t="shared" si="97"/>
        <v>2.4745715144640118E-3</v>
      </c>
      <c r="G229" s="2"/>
      <c r="H229" s="7">
        <v>10251</v>
      </c>
      <c r="I229" s="2"/>
      <c r="J229" s="6">
        <f t="shared" si="98"/>
        <v>7.34801311187746E-3</v>
      </c>
      <c r="K229" s="2"/>
      <c r="L229" s="7">
        <f t="shared" si="99"/>
        <v>-7680.73</v>
      </c>
      <c r="M229" s="2"/>
      <c r="N229" s="6">
        <f t="shared" si="100"/>
        <v>-0.74926641303287478</v>
      </c>
      <c r="O229" s="11"/>
      <c r="P229" s="7">
        <v>13233.89</v>
      </c>
      <c r="Q229" s="2"/>
      <c r="R229" s="6">
        <f t="shared" si="101"/>
        <v>1.4698074805526132E-3</v>
      </c>
      <c r="S229" s="2"/>
      <c r="T229" s="7">
        <v>41803</v>
      </c>
      <c r="U229" s="2"/>
      <c r="V229" s="6">
        <f t="shared" si="102"/>
        <v>2.7445654118578122E-3</v>
      </c>
      <c r="W229" s="2"/>
      <c r="X229" s="7">
        <f t="shared" si="103"/>
        <v>-28569.11</v>
      </c>
      <c r="Y229" s="2"/>
      <c r="Z229" s="6">
        <f t="shared" si="104"/>
        <v>-0.68342248164007369</v>
      </c>
    </row>
    <row r="230" spans="1:26" s="25" customFormat="1" outlineLevel="1" collapsed="1" x14ac:dyDescent="0.25">
      <c r="A230" s="27"/>
      <c r="B230" s="13" t="str">
        <f>CONCATENATE("     ","Services                                          ")</f>
        <v xml:space="preserve">     Services                                          </v>
      </c>
      <c r="C230" s="13"/>
      <c r="D230" s="1">
        <f>SUM(OSRRefD22_20x_0)</f>
        <v>28061.86</v>
      </c>
      <c r="E230" s="1"/>
      <c r="F230" s="5">
        <f t="shared" ref="F230:F235" si="105">IF(D$12=0,0,D230/D$12)</f>
        <v>2.7017036886738389E-2</v>
      </c>
      <c r="G230" s="1"/>
      <c r="H230" s="1">
        <f>SUM(OSRRefH22_20x_0)</f>
        <v>32502</v>
      </c>
      <c r="I230" s="1"/>
      <c r="J230" s="5">
        <f t="shared" ref="J230:J235" si="106">IF(H$12=0,0,H230/H$12)</f>
        <v>2.3297738968124204E-2</v>
      </c>
      <c r="K230" s="1"/>
      <c r="L230" s="1">
        <f t="shared" ref="L230:L235" si="107">+D230-H230</f>
        <v>-4440.1399999999994</v>
      </c>
      <c r="M230" s="1"/>
      <c r="N230" s="5">
        <f t="shared" ref="N230:N235" si="108">IF(H230=0,0,L230/H230)</f>
        <v>-0.13661128545935633</v>
      </c>
      <c r="O230" s="13"/>
      <c r="P230" s="1">
        <f>SUM(OSRRefP22_20x_0)</f>
        <v>214856.74000000002</v>
      </c>
      <c r="Q230" s="1"/>
      <c r="R230" s="5">
        <f t="shared" ref="R230:R235" si="109">IF(P$12=0,0,P230/P$12)</f>
        <v>2.3862828215977908E-2</v>
      </c>
      <c r="S230" s="1"/>
      <c r="T230" s="1">
        <f>SUM(OSRRefT22_20x_0)</f>
        <v>324035</v>
      </c>
      <c r="U230" s="1"/>
      <c r="V230" s="5">
        <f t="shared" ref="V230:V235" si="110">IF(T$12=0,0,T230/T$12)</f>
        <v>2.1274436122559293E-2</v>
      </c>
      <c r="W230" s="1"/>
      <c r="X230" s="1">
        <f t="shared" ref="X230:X235" si="111">+P230-T230</f>
        <v>-109178.25999999998</v>
      </c>
      <c r="Y230" s="1"/>
      <c r="Z230" s="5">
        <f t="shared" ref="Z230:Z235" si="112">IF(T230=0,0,X230/T230)</f>
        <v>-0.33693354112981616</v>
      </c>
    </row>
    <row r="231" spans="1:26" s="24" customFormat="1" hidden="1" outlineLevel="2" x14ac:dyDescent="0.25">
      <c r="A231" s="26"/>
      <c r="B231" s="11" t="str">
        <f>CONCATENATE("          ", "6282", " - ", "JANITORIAL/EXTERMINATOR EXPENS")</f>
        <v xml:space="preserve">          6282 - JANITORIAL/EXTERMINATOR EXPENS</v>
      </c>
      <c r="C231" s="11"/>
      <c r="D231" s="7">
        <v>4208.8100000000004</v>
      </c>
      <c r="E231" s="2"/>
      <c r="F231" s="6">
        <f t="shared" si="105"/>
        <v>4.0521039952188991E-3</v>
      </c>
      <c r="G231" s="2"/>
      <c r="H231" s="7">
        <v>6376</v>
      </c>
      <c r="I231" s="2"/>
      <c r="J231" s="6">
        <f t="shared" si="106"/>
        <v>4.5703767048415455E-3</v>
      </c>
      <c r="K231" s="2"/>
      <c r="L231" s="7">
        <f t="shared" si="107"/>
        <v>-2167.1899999999996</v>
      </c>
      <c r="M231" s="2"/>
      <c r="N231" s="6">
        <f t="shared" si="108"/>
        <v>-0.33989805520702626</v>
      </c>
      <c r="O231" s="11"/>
      <c r="P231" s="7">
        <v>34049.910000000003</v>
      </c>
      <c r="Q231" s="2"/>
      <c r="R231" s="6">
        <f t="shared" si="109"/>
        <v>3.7817159149836693E-3</v>
      </c>
      <c r="S231" s="2"/>
      <c r="T231" s="7">
        <v>69091</v>
      </c>
      <c r="U231" s="2"/>
      <c r="V231" s="6">
        <f t="shared" si="110"/>
        <v>4.5361521630186375E-3</v>
      </c>
      <c r="W231" s="2"/>
      <c r="X231" s="7">
        <f t="shared" si="111"/>
        <v>-35041.089999999997</v>
      </c>
      <c r="Y231" s="2"/>
      <c r="Z231" s="6">
        <f t="shared" si="112"/>
        <v>-0.50717300371973195</v>
      </c>
    </row>
    <row r="232" spans="1:26" s="24" customFormat="1" hidden="1" outlineLevel="2" x14ac:dyDescent="0.25">
      <c r="A232" s="26"/>
      <c r="B232" s="11" t="str">
        <f>CONCATENATE("          ", "6283", " - ", "PLANT SERVICE")</f>
        <v xml:space="preserve">          6283 - PLANT SERVICE</v>
      </c>
      <c r="C232" s="11"/>
      <c r="D232" s="7"/>
      <c r="E232" s="2"/>
      <c r="F232" s="6">
        <f t="shared" si="105"/>
        <v>0</v>
      </c>
      <c r="G232" s="2"/>
      <c r="H232" s="7">
        <v>0</v>
      </c>
      <c r="I232" s="2"/>
      <c r="J232" s="6">
        <f t="shared" si="106"/>
        <v>0</v>
      </c>
      <c r="K232" s="2"/>
      <c r="L232" s="7">
        <f t="shared" si="107"/>
        <v>0</v>
      </c>
      <c r="M232" s="2"/>
      <c r="N232" s="6">
        <f t="shared" si="108"/>
        <v>0</v>
      </c>
      <c r="O232" s="11"/>
      <c r="P232" s="7">
        <v>171.31</v>
      </c>
      <c r="Q232" s="2"/>
      <c r="R232" s="6">
        <f t="shared" si="109"/>
        <v>1.9026357291277785E-5</v>
      </c>
      <c r="S232" s="2"/>
      <c r="T232" s="7">
        <v>310</v>
      </c>
      <c r="U232" s="2"/>
      <c r="V232" s="6">
        <f t="shared" si="110"/>
        <v>2.0352971740686596E-5</v>
      </c>
      <c r="W232" s="2"/>
      <c r="X232" s="7">
        <f t="shared" si="111"/>
        <v>-138.69</v>
      </c>
      <c r="Y232" s="2"/>
      <c r="Z232" s="6">
        <f t="shared" si="112"/>
        <v>-0.44738709677419353</v>
      </c>
    </row>
    <row r="233" spans="1:26" s="24" customFormat="1" hidden="1" outlineLevel="2" x14ac:dyDescent="0.25">
      <c r="A233" s="26"/>
      <c r="B233" s="11" t="str">
        <f>CONCATENATE("          ", "6284", " - ", "TRASH REMOVAL EXPENSE")</f>
        <v xml:space="preserve">          6284 - TRASH REMOVAL EXPENSE</v>
      </c>
      <c r="C233" s="11"/>
      <c r="D233" s="7">
        <v>5800.57</v>
      </c>
      <c r="E233" s="2"/>
      <c r="F233" s="6">
        <f t="shared" si="105"/>
        <v>5.584598228845418E-3</v>
      </c>
      <c r="G233" s="2"/>
      <c r="H233" s="7">
        <v>4105</v>
      </c>
      <c r="I233" s="2"/>
      <c r="J233" s="6">
        <f t="shared" si="106"/>
        <v>2.9425025679696588E-3</v>
      </c>
      <c r="K233" s="2"/>
      <c r="L233" s="7">
        <f t="shared" si="107"/>
        <v>1695.5699999999997</v>
      </c>
      <c r="M233" s="2"/>
      <c r="N233" s="6">
        <f t="shared" si="108"/>
        <v>0.41304993909866011</v>
      </c>
      <c r="O233" s="11"/>
      <c r="P233" s="7">
        <v>28899.47</v>
      </c>
      <c r="Q233" s="2"/>
      <c r="R233" s="6">
        <f t="shared" si="109"/>
        <v>3.2096879443614711E-3</v>
      </c>
      <c r="S233" s="2"/>
      <c r="T233" s="7">
        <v>39006</v>
      </c>
      <c r="U233" s="2"/>
      <c r="V233" s="6">
        <f t="shared" si="110"/>
        <v>2.5609290829587783E-3</v>
      </c>
      <c r="W233" s="2"/>
      <c r="X233" s="7">
        <f t="shared" si="111"/>
        <v>-10106.529999999999</v>
      </c>
      <c r="Y233" s="2"/>
      <c r="Z233" s="6">
        <f t="shared" si="112"/>
        <v>-0.25910193303594314</v>
      </c>
    </row>
    <row r="234" spans="1:26" s="24" customFormat="1" hidden="1" outlineLevel="2" x14ac:dyDescent="0.25">
      <c r="A234" s="26"/>
      <c r="B234" s="11" t="str">
        <f>CONCATENATE("          ", "6285", " - ", "JANITORIAL SERVICES")</f>
        <v xml:space="preserve">          6285 - JANITORIAL SERVICES</v>
      </c>
      <c r="C234" s="11"/>
      <c r="D234" s="7">
        <v>16146.46</v>
      </c>
      <c r="E234" s="2"/>
      <c r="F234" s="6">
        <f t="shared" si="105"/>
        <v>1.5545281225487045E-2</v>
      </c>
      <c r="G234" s="2"/>
      <c r="H234" s="7">
        <v>17417</v>
      </c>
      <c r="I234" s="2"/>
      <c r="J234" s="6">
        <f t="shared" si="106"/>
        <v>1.248466923905665E-2</v>
      </c>
      <c r="K234" s="2"/>
      <c r="L234" s="7">
        <f t="shared" si="107"/>
        <v>-1270.5400000000009</v>
      </c>
      <c r="M234" s="2"/>
      <c r="N234" s="6">
        <f t="shared" si="108"/>
        <v>-7.2948268932652063E-2</v>
      </c>
      <c r="O234" s="11"/>
      <c r="P234" s="7">
        <v>136243.67000000001</v>
      </c>
      <c r="Q234" s="2"/>
      <c r="R234" s="6">
        <f t="shared" si="109"/>
        <v>1.5131753803601334E-2</v>
      </c>
      <c r="S234" s="2"/>
      <c r="T234" s="7">
        <v>169595</v>
      </c>
      <c r="U234" s="2"/>
      <c r="V234" s="6">
        <f t="shared" si="110"/>
        <v>1.1134716910844333E-2</v>
      </c>
      <c r="W234" s="2"/>
      <c r="X234" s="7">
        <f t="shared" si="111"/>
        <v>-33351.329999999987</v>
      </c>
      <c r="Y234" s="2"/>
      <c r="Z234" s="6">
        <f t="shared" si="112"/>
        <v>-0.19665279047141712</v>
      </c>
    </row>
    <row r="235" spans="1:26" s="24" customFormat="1" hidden="1" outlineLevel="2" x14ac:dyDescent="0.25">
      <c r="A235" s="26"/>
      <c r="B235" s="11" t="str">
        <f>CONCATENATE("          ", "6286", " - ", "LAUNDRY EXPENSE")</f>
        <v xml:space="preserve">          6286 - LAUNDRY EXPENSE</v>
      </c>
      <c r="C235" s="11"/>
      <c r="D235" s="7">
        <v>1906.02</v>
      </c>
      <c r="E235" s="2"/>
      <c r="F235" s="6">
        <f t="shared" si="105"/>
        <v>1.8350534371870254E-3</v>
      </c>
      <c r="G235" s="2"/>
      <c r="H235" s="7">
        <v>4604</v>
      </c>
      <c r="I235" s="2"/>
      <c r="J235" s="6">
        <f t="shared" si="106"/>
        <v>3.3001904562563484E-3</v>
      </c>
      <c r="K235" s="2"/>
      <c r="L235" s="7">
        <f t="shared" si="107"/>
        <v>-2697.98</v>
      </c>
      <c r="M235" s="2"/>
      <c r="N235" s="6">
        <f t="shared" si="108"/>
        <v>-0.58600781928757606</v>
      </c>
      <c r="O235" s="11"/>
      <c r="P235" s="7">
        <v>15492.38</v>
      </c>
      <c r="Q235" s="2"/>
      <c r="R235" s="6">
        <f t="shared" si="109"/>
        <v>1.720644195740156E-3</v>
      </c>
      <c r="S235" s="2"/>
      <c r="T235" s="7">
        <v>46033</v>
      </c>
      <c r="U235" s="2"/>
      <c r="V235" s="6">
        <f t="shared" si="110"/>
        <v>3.022284993996858E-3</v>
      </c>
      <c r="W235" s="2"/>
      <c r="X235" s="7">
        <f t="shared" si="111"/>
        <v>-30540.620000000003</v>
      </c>
      <c r="Y235" s="2"/>
      <c r="Z235" s="6">
        <f t="shared" si="112"/>
        <v>-0.66345056807073188</v>
      </c>
    </row>
    <row r="236" spans="1:26" s="25" customFormat="1" outlineLevel="1" collapsed="1" x14ac:dyDescent="0.25">
      <c r="A236" s="27"/>
      <c r="B236" s="13" t="str">
        <f>CONCATENATE("     ","Subscriptions &amp; Dues                              ")</f>
        <v xml:space="preserve">     Subscriptions &amp; Dues                              </v>
      </c>
      <c r="C236" s="13"/>
      <c r="D236" s="1">
        <f>SUM(OSRRefD22_21x_0)</f>
        <v>2485.8000000000002</v>
      </c>
      <c r="E236" s="1"/>
      <c r="F236" s="5">
        <f t="shared" ref="F236:F238" si="113">IF(D$12=0,0,D236/D$12)</f>
        <v>2.3932465735718978E-3</v>
      </c>
      <c r="G236" s="1"/>
      <c r="H236" s="1">
        <f>SUM(OSRRefH22_21x_0)</f>
        <v>4126</v>
      </c>
      <c r="I236" s="1"/>
      <c r="J236" s="5">
        <f t="shared" ref="J236:J238" si="114">IF(H$12=0,0,H236/H$12)</f>
        <v>2.9575555652723053E-3</v>
      </c>
      <c r="K236" s="1"/>
      <c r="L236" s="1">
        <f t="shared" ref="L236:L238" si="115">+D236-H236</f>
        <v>-1640.1999999999998</v>
      </c>
      <c r="M236" s="1"/>
      <c r="N236" s="5">
        <f t="shared" ref="N236:N238" si="116">IF(H236=0,0,L236/H236)</f>
        <v>-0.39752787203102274</v>
      </c>
      <c r="O236" s="13"/>
      <c r="P236" s="1">
        <f>SUM(OSRRefP22_21x_0)</f>
        <v>8531.2099999999991</v>
      </c>
      <c r="Q236" s="1"/>
      <c r="R236" s="5">
        <f t="shared" ref="R236:R238" si="117">IF(P$12=0,0,P236/P$12)</f>
        <v>9.4750948331633836E-4</v>
      </c>
      <c r="S236" s="1"/>
      <c r="T236" s="1">
        <f>SUM(OSRRefT22_21x_0)</f>
        <v>19686</v>
      </c>
      <c r="U236" s="1"/>
      <c r="V236" s="5">
        <f t="shared" ref="V236:V238" si="118">IF(T$12=0,0,T236/T$12)</f>
        <v>1.2924793602811493E-3</v>
      </c>
      <c r="W236" s="1"/>
      <c r="X236" s="1">
        <f t="shared" ref="X236:X238" si="119">+P236-T236</f>
        <v>-11154.79</v>
      </c>
      <c r="Y236" s="1"/>
      <c r="Z236" s="5">
        <f t="shared" ref="Z236:Z238" si="120">IF(T236=0,0,X236/T236)</f>
        <v>-0.56663568017880728</v>
      </c>
    </row>
    <row r="237" spans="1:26" s="24" customFormat="1" hidden="1" outlineLevel="2" x14ac:dyDescent="0.25">
      <c r="A237" s="26"/>
      <c r="B237" s="11" t="str">
        <f>CONCATENATE("          ", "6258", " - ", "MEMBERSHIP DUES")</f>
        <v xml:space="preserve">          6258 - MEMBERSHIP DUES</v>
      </c>
      <c r="C237" s="11"/>
      <c r="D237" s="7">
        <v>328.71</v>
      </c>
      <c r="E237" s="2"/>
      <c r="F237" s="6">
        <f t="shared" si="113"/>
        <v>3.1647118883209365E-4</v>
      </c>
      <c r="G237" s="2"/>
      <c r="H237" s="7">
        <v>1950</v>
      </c>
      <c r="I237" s="2"/>
      <c r="J237" s="6">
        <f t="shared" si="114"/>
        <v>1.3977783209600085E-3</v>
      </c>
      <c r="K237" s="2"/>
      <c r="L237" s="7">
        <f t="shared" si="115"/>
        <v>-1621.29</v>
      </c>
      <c r="M237" s="2"/>
      <c r="N237" s="6">
        <f t="shared" si="116"/>
        <v>-0.8314307692307692</v>
      </c>
      <c r="O237" s="11"/>
      <c r="P237" s="7">
        <v>3230.23</v>
      </c>
      <c r="Q237" s="2"/>
      <c r="R237" s="6">
        <f t="shared" si="117"/>
        <v>3.5876195267645929E-4</v>
      </c>
      <c r="S237" s="2"/>
      <c r="T237" s="7">
        <v>14145</v>
      </c>
      <c r="U237" s="2"/>
      <c r="V237" s="6">
        <f t="shared" si="118"/>
        <v>9.2868640410326416E-4</v>
      </c>
      <c r="W237" s="2"/>
      <c r="X237" s="7">
        <f t="shared" si="119"/>
        <v>-10914.77</v>
      </c>
      <c r="Y237" s="2"/>
      <c r="Z237" s="6">
        <f t="shared" si="120"/>
        <v>-0.77163449982325916</v>
      </c>
    </row>
    <row r="238" spans="1:26" s="24" customFormat="1" hidden="1" outlineLevel="2" x14ac:dyDescent="0.25">
      <c r="A238" s="26"/>
      <c r="B238" s="11" t="str">
        <f>CONCATENATE("          ", "6275", " - ", "SUBSCRIPTIONS")</f>
        <v xml:space="preserve">          6275 - SUBSCRIPTIONS</v>
      </c>
      <c r="C238" s="11"/>
      <c r="D238" s="7">
        <v>2157.09</v>
      </c>
      <c r="E238" s="2"/>
      <c r="F238" s="6">
        <f t="shared" si="113"/>
        <v>2.0767753847398037E-3</v>
      </c>
      <c r="G238" s="2"/>
      <c r="H238" s="7">
        <v>2176</v>
      </c>
      <c r="I238" s="2"/>
      <c r="J238" s="6">
        <f t="shared" si="114"/>
        <v>1.5597772443122966E-3</v>
      </c>
      <c r="K238" s="2"/>
      <c r="L238" s="7">
        <f t="shared" si="115"/>
        <v>-18.909999999999854</v>
      </c>
      <c r="M238" s="2"/>
      <c r="N238" s="6">
        <f t="shared" si="116"/>
        <v>-8.6902573529411102E-3</v>
      </c>
      <c r="O238" s="11"/>
      <c r="P238" s="7">
        <v>5300.98</v>
      </c>
      <c r="Q238" s="2"/>
      <c r="R238" s="6">
        <f t="shared" si="117"/>
        <v>5.8874753063987918E-4</v>
      </c>
      <c r="S238" s="2"/>
      <c r="T238" s="7">
        <v>5541</v>
      </c>
      <c r="U238" s="2"/>
      <c r="V238" s="6">
        <f t="shared" si="118"/>
        <v>3.6379295617788523E-4</v>
      </c>
      <c r="W238" s="2"/>
      <c r="X238" s="7">
        <f t="shared" si="119"/>
        <v>-240.02000000000044</v>
      </c>
      <c r="Y238" s="2"/>
      <c r="Z238" s="6">
        <f t="shared" si="120"/>
        <v>-4.3317090777838012E-2</v>
      </c>
    </row>
    <row r="239" spans="1:26" s="25" customFormat="1" outlineLevel="1" collapsed="1" x14ac:dyDescent="0.25">
      <c r="A239" s="27"/>
      <c r="B239" s="13" t="str">
        <f>CONCATENATE("     ","Supplies                                          ")</f>
        <v xml:space="preserve">     Supplies                                          </v>
      </c>
      <c r="C239" s="13"/>
      <c r="D239" s="1">
        <f>SUM(OSRRefD22_22x_0)</f>
        <v>25115.9</v>
      </c>
      <c r="E239" s="1"/>
      <c r="F239" s="5">
        <f t="shared" ref="F239:F250" si="121">IF(D$12=0,0,D239/D$12)</f>
        <v>2.4180763382884551E-2</v>
      </c>
      <c r="G239" s="1"/>
      <c r="H239" s="1">
        <f>SUM(OSRRefH22_22x_0)</f>
        <v>46907</v>
      </c>
      <c r="I239" s="1"/>
      <c r="J239" s="5">
        <f t="shared" ref="J239:J250" si="122">IF(H$12=0,0,H239/H$12)</f>
        <v>3.3623378308344165E-2</v>
      </c>
      <c r="K239" s="1"/>
      <c r="L239" s="1">
        <f t="shared" ref="L239:L250" si="123">+D239-H239</f>
        <v>-21791.1</v>
      </c>
      <c r="M239" s="1"/>
      <c r="N239" s="5">
        <f t="shared" ref="N239:N250" si="124">IF(H239=0,0,L239/H239)</f>
        <v>-0.46455966060502696</v>
      </c>
      <c r="O239" s="13"/>
      <c r="P239" s="1">
        <f>SUM(OSRRefP22_22x_0)</f>
        <v>273896.88</v>
      </c>
      <c r="Q239" s="1"/>
      <c r="R239" s="5">
        <f t="shared" ref="R239:R250" si="125">IF(P$12=0,0,P239/P$12)</f>
        <v>3.0420056621599651E-2</v>
      </c>
      <c r="S239" s="1"/>
      <c r="T239" s="1">
        <f>SUM(OSRRefT22_22x_0)</f>
        <v>516068</v>
      </c>
      <c r="U239" s="1"/>
      <c r="V239" s="5">
        <f t="shared" ref="V239:V250" si="126">IF(T$12=0,0,T239/T$12)</f>
        <v>3.388231425894403E-2</v>
      </c>
      <c r="W239" s="1"/>
      <c r="X239" s="1">
        <f t="shared" ref="X239:X250" si="127">+P239-T239</f>
        <v>-242171.12</v>
      </c>
      <c r="Y239" s="1"/>
      <c r="Z239" s="5">
        <f t="shared" ref="Z239:Z250" si="128">IF(T239=0,0,X239/T239)</f>
        <v>-0.46926203523566662</v>
      </c>
    </row>
    <row r="240" spans="1:26" s="24" customFormat="1" hidden="1" outlineLevel="2" x14ac:dyDescent="0.25">
      <c r="A240" s="26"/>
      <c r="B240" s="11" t="str">
        <f>CONCATENATE("          ", "6234", " - ", "EXPENDABLE SUPPLIES &amp; EQUIPMEN")</f>
        <v xml:space="preserve">          6234 - EXPENDABLE SUPPLIES &amp; EQUIPMEN</v>
      </c>
      <c r="C240" s="11"/>
      <c r="D240" s="7">
        <v>79.25</v>
      </c>
      <c r="E240" s="2"/>
      <c r="F240" s="6">
        <f t="shared" si="121"/>
        <v>7.6299296385699928E-5</v>
      </c>
      <c r="G240" s="2"/>
      <c r="H240" s="7">
        <v>7250</v>
      </c>
      <c r="I240" s="2"/>
      <c r="J240" s="6">
        <f t="shared" si="122"/>
        <v>5.1968681163897749E-3</v>
      </c>
      <c r="K240" s="2"/>
      <c r="L240" s="7">
        <f t="shared" si="123"/>
        <v>-7170.75</v>
      </c>
      <c r="M240" s="2"/>
      <c r="N240" s="6">
        <f t="shared" si="124"/>
        <v>-0.98906896551724133</v>
      </c>
      <c r="O240" s="11"/>
      <c r="P240" s="7">
        <v>2387.48</v>
      </c>
      <c r="Q240" s="2"/>
      <c r="R240" s="6">
        <f t="shared" si="125"/>
        <v>2.6516284808697618E-4</v>
      </c>
      <c r="S240" s="2"/>
      <c r="T240" s="7">
        <v>73604</v>
      </c>
      <c r="U240" s="2"/>
      <c r="V240" s="6">
        <f t="shared" si="126"/>
        <v>4.8324520387145039E-3</v>
      </c>
      <c r="W240" s="2"/>
      <c r="X240" s="7">
        <f t="shared" si="127"/>
        <v>-71216.52</v>
      </c>
      <c r="Y240" s="2"/>
      <c r="Z240" s="6">
        <f t="shared" si="128"/>
        <v>-0.96756317591435259</v>
      </c>
    </row>
    <row r="241" spans="1:26" s="24" customFormat="1" hidden="1" outlineLevel="2" x14ac:dyDescent="0.25">
      <c r="A241" s="26"/>
      <c r="B241" s="11" t="str">
        <f>CONCATENATE("          ", "6235", " - ", "COVID-19 EXPENSES")</f>
        <v xml:space="preserve">          6235 - COVID-19 EXPENSES</v>
      </c>
      <c r="C241" s="11"/>
      <c r="D241" s="7">
        <v>6394.44</v>
      </c>
      <c r="E241" s="2"/>
      <c r="F241" s="6">
        <f t="shared" si="121"/>
        <v>6.156356754329022E-3</v>
      </c>
      <c r="G241" s="2"/>
      <c r="H241" s="7">
        <v>13100</v>
      </c>
      <c r="I241" s="2"/>
      <c r="J241" s="6">
        <f t="shared" si="122"/>
        <v>9.3902030792698005E-3</v>
      </c>
      <c r="K241" s="2"/>
      <c r="L241" s="7">
        <f t="shared" si="123"/>
        <v>-6705.56</v>
      </c>
      <c r="M241" s="2"/>
      <c r="N241" s="6">
        <f t="shared" si="124"/>
        <v>-0.51187480916030537</v>
      </c>
      <c r="O241" s="11"/>
      <c r="P241" s="7">
        <v>105383.24</v>
      </c>
      <c r="Q241" s="2"/>
      <c r="R241" s="6">
        <f t="shared" si="125"/>
        <v>1.1704273987230616E-2</v>
      </c>
      <c r="S241" s="2"/>
      <c r="T241" s="7">
        <v>184100</v>
      </c>
      <c r="U241" s="2"/>
      <c r="V241" s="6">
        <f t="shared" si="126"/>
        <v>1.2087039024065813E-2</v>
      </c>
      <c r="W241" s="2"/>
      <c r="X241" s="7">
        <f t="shared" si="127"/>
        <v>-78716.759999999995</v>
      </c>
      <c r="Y241" s="2"/>
      <c r="Z241" s="6">
        <f t="shared" si="128"/>
        <v>-0.42757609994568169</v>
      </c>
    </row>
    <row r="242" spans="1:26" s="24" customFormat="1" hidden="1" outlineLevel="2" x14ac:dyDescent="0.25">
      <c r="A242" s="26"/>
      <c r="B242" s="11" t="str">
        <f>CONCATENATE("          ", "6237", " - ", "JANITORIAL SUPPLIES")</f>
        <v xml:space="preserve">          6237 - JANITORIAL SUPPLIES</v>
      </c>
      <c r="C242" s="11"/>
      <c r="D242" s="7">
        <v>2490.7399999999998</v>
      </c>
      <c r="E242" s="2"/>
      <c r="F242" s="6">
        <f t="shared" si="121"/>
        <v>2.3980026432772012E-3</v>
      </c>
      <c r="G242" s="2"/>
      <c r="H242" s="7">
        <v>10472</v>
      </c>
      <c r="I242" s="2"/>
      <c r="J242" s="6">
        <f t="shared" si="122"/>
        <v>7.5064279882529278E-3</v>
      </c>
      <c r="K242" s="2"/>
      <c r="L242" s="7">
        <f t="shared" si="123"/>
        <v>-7981.26</v>
      </c>
      <c r="M242" s="2"/>
      <c r="N242" s="6">
        <f t="shared" si="124"/>
        <v>-0.76215240641711235</v>
      </c>
      <c r="O242" s="11"/>
      <c r="P242" s="7">
        <v>25907.75</v>
      </c>
      <c r="Q242" s="2"/>
      <c r="R242" s="6">
        <f t="shared" si="125"/>
        <v>2.8774158432847002E-3</v>
      </c>
      <c r="S242" s="2"/>
      <c r="T242" s="7">
        <v>99253</v>
      </c>
      <c r="U242" s="2"/>
      <c r="V242" s="6">
        <f t="shared" si="126"/>
        <v>6.5164306586398919E-3</v>
      </c>
      <c r="W242" s="2"/>
      <c r="X242" s="7">
        <f t="shared" si="127"/>
        <v>-73345.25</v>
      </c>
      <c r="Y242" s="2"/>
      <c r="Z242" s="6">
        <f t="shared" si="128"/>
        <v>-0.73897262551257892</v>
      </c>
    </row>
    <row r="243" spans="1:26" s="24" customFormat="1" hidden="1" outlineLevel="2" x14ac:dyDescent="0.25">
      <c r="A243" s="26"/>
      <c r="B243" s="11" t="str">
        <f>CONCATENATE("          ", "6239", " - ", "KITCHEN SUPPLIES")</f>
        <v xml:space="preserve">          6239 - KITCHEN SUPPLIES</v>
      </c>
      <c r="C243" s="11"/>
      <c r="D243" s="7">
        <v>160.30000000000001</v>
      </c>
      <c r="E243" s="2"/>
      <c r="F243" s="6">
        <f t="shared" si="121"/>
        <v>1.5433157363568074E-4</v>
      </c>
      <c r="G243" s="2"/>
      <c r="H243" s="7">
        <v>2350</v>
      </c>
      <c r="I243" s="2"/>
      <c r="J243" s="6">
        <f t="shared" si="122"/>
        <v>1.6845020791056513E-3</v>
      </c>
      <c r="K243" s="2"/>
      <c r="L243" s="7">
        <f t="shared" si="123"/>
        <v>-2189.6999999999998</v>
      </c>
      <c r="M243" s="2"/>
      <c r="N243" s="6">
        <f t="shared" si="124"/>
        <v>-0.93178723404255315</v>
      </c>
      <c r="O243" s="11"/>
      <c r="P243" s="7">
        <v>7267.21</v>
      </c>
      <c r="Q243" s="2"/>
      <c r="R243" s="6">
        <f t="shared" si="125"/>
        <v>8.0712470942003866E-4</v>
      </c>
      <c r="S243" s="2"/>
      <c r="T243" s="7">
        <v>22643</v>
      </c>
      <c r="U243" s="2"/>
      <c r="V243" s="6">
        <f t="shared" si="126"/>
        <v>1.4866204487882792E-3</v>
      </c>
      <c r="W243" s="2"/>
      <c r="X243" s="7">
        <f t="shared" si="127"/>
        <v>-15375.79</v>
      </c>
      <c r="Y243" s="2"/>
      <c r="Z243" s="6">
        <f t="shared" si="128"/>
        <v>-0.67905268736474855</v>
      </c>
    </row>
    <row r="244" spans="1:26" s="24" customFormat="1" hidden="1" outlineLevel="2" x14ac:dyDescent="0.25">
      <c r="A244" s="26"/>
      <c r="B244" s="11" t="str">
        <f>CONCATENATE("          ", "6241", " - ", "OFFICE EXPENSE")</f>
        <v xml:space="preserve">          6241 - OFFICE EXPENSE</v>
      </c>
      <c r="C244" s="11"/>
      <c r="D244" s="7">
        <v>4733.1099999999997</v>
      </c>
      <c r="E244" s="2"/>
      <c r="F244" s="6">
        <f t="shared" si="121"/>
        <v>4.5568828102980456E-3</v>
      </c>
      <c r="G244" s="2"/>
      <c r="H244" s="7">
        <v>1660</v>
      </c>
      <c r="I244" s="2"/>
      <c r="J244" s="6">
        <f t="shared" si="122"/>
        <v>1.1899035963044175E-3</v>
      </c>
      <c r="K244" s="2"/>
      <c r="L244" s="7">
        <f t="shared" si="123"/>
        <v>3073.1099999999997</v>
      </c>
      <c r="M244" s="2"/>
      <c r="N244" s="6">
        <f t="shared" si="124"/>
        <v>1.8512710843373492</v>
      </c>
      <c r="O244" s="11"/>
      <c r="P244" s="7">
        <v>36428.6</v>
      </c>
      <c r="Q244" s="2"/>
      <c r="R244" s="6">
        <f t="shared" si="125"/>
        <v>4.0459025113597684E-3</v>
      </c>
      <c r="S244" s="2"/>
      <c r="T244" s="7">
        <v>22012</v>
      </c>
      <c r="U244" s="2"/>
      <c r="V244" s="6">
        <f t="shared" si="126"/>
        <v>1.4451923030838496E-3</v>
      </c>
      <c r="W244" s="2"/>
      <c r="X244" s="7">
        <f t="shared" si="127"/>
        <v>14416.599999999999</v>
      </c>
      <c r="Y244" s="2"/>
      <c r="Z244" s="6">
        <f t="shared" si="128"/>
        <v>0.6549427584953661</v>
      </c>
    </row>
    <row r="245" spans="1:26" s="24" customFormat="1" hidden="1" outlineLevel="2" x14ac:dyDescent="0.25">
      <c r="A245" s="26"/>
      <c r="B245" s="11" t="str">
        <f>CONCATENATE("          ", "6243", " - ", "PAPER SUPPLIES")</f>
        <v xml:space="preserve">          6243 - PAPER SUPPLIES</v>
      </c>
      <c r="C245" s="11"/>
      <c r="D245" s="7">
        <v>7329.22</v>
      </c>
      <c r="E245" s="2"/>
      <c r="F245" s="6">
        <f t="shared" si="121"/>
        <v>7.0563322278359569E-3</v>
      </c>
      <c r="G245" s="2"/>
      <c r="H245" s="7">
        <v>5800</v>
      </c>
      <c r="I245" s="2"/>
      <c r="J245" s="6">
        <f t="shared" si="122"/>
        <v>4.1574944931118199E-3</v>
      </c>
      <c r="K245" s="2"/>
      <c r="L245" s="7">
        <f t="shared" si="123"/>
        <v>1529.2200000000003</v>
      </c>
      <c r="M245" s="2"/>
      <c r="N245" s="6">
        <f t="shared" si="124"/>
        <v>0.26365862068965523</v>
      </c>
      <c r="O245" s="11"/>
      <c r="P245" s="7">
        <v>42313.83</v>
      </c>
      <c r="Q245" s="2"/>
      <c r="R245" s="6">
        <f t="shared" si="125"/>
        <v>4.6995391275604969E-3</v>
      </c>
      <c r="S245" s="2"/>
      <c r="T245" s="7">
        <v>34041</v>
      </c>
      <c r="U245" s="2"/>
      <c r="V245" s="6">
        <f t="shared" si="126"/>
        <v>2.2349532613700398E-3</v>
      </c>
      <c r="W245" s="2"/>
      <c r="X245" s="7">
        <f t="shared" si="127"/>
        <v>8272.8300000000017</v>
      </c>
      <c r="Y245" s="2"/>
      <c r="Z245" s="6">
        <f t="shared" si="128"/>
        <v>0.24302546928703628</v>
      </c>
    </row>
    <row r="246" spans="1:26" s="24" customFormat="1" hidden="1" outlineLevel="2" x14ac:dyDescent="0.25">
      <c r="A246" s="26"/>
      <c r="B246" s="11" t="str">
        <f>CONCATENATE("          ", "6244", " - ", "SAFETY SUPPLY EXPENSE")</f>
        <v xml:space="preserve">          6244 - SAFETY SUPPLY EXPENSE</v>
      </c>
      <c r="C246" s="11"/>
      <c r="D246" s="7"/>
      <c r="E246" s="2"/>
      <c r="F246" s="6">
        <f t="shared" si="121"/>
        <v>0</v>
      </c>
      <c r="G246" s="2"/>
      <c r="H246" s="7">
        <v>205</v>
      </c>
      <c r="I246" s="2"/>
      <c r="J246" s="6">
        <f t="shared" si="122"/>
        <v>1.4694592604964191E-4</v>
      </c>
      <c r="K246" s="2"/>
      <c r="L246" s="7">
        <f t="shared" si="123"/>
        <v>-205</v>
      </c>
      <c r="M246" s="2"/>
      <c r="N246" s="6">
        <f t="shared" si="124"/>
        <v>-1</v>
      </c>
      <c r="O246" s="11"/>
      <c r="P246" s="7"/>
      <c r="Q246" s="2"/>
      <c r="R246" s="6">
        <f t="shared" si="125"/>
        <v>0</v>
      </c>
      <c r="S246" s="2"/>
      <c r="T246" s="7">
        <v>1480</v>
      </c>
      <c r="U246" s="2"/>
      <c r="V246" s="6">
        <f t="shared" si="126"/>
        <v>9.7169026374890842E-5</v>
      </c>
      <c r="W246" s="2"/>
      <c r="X246" s="7">
        <f t="shared" si="127"/>
        <v>-1480</v>
      </c>
      <c r="Y246" s="2"/>
      <c r="Z246" s="6">
        <f t="shared" si="128"/>
        <v>-1</v>
      </c>
    </row>
    <row r="247" spans="1:26" s="24" customFormat="1" hidden="1" outlineLevel="2" x14ac:dyDescent="0.25">
      <c r="A247" s="26"/>
      <c r="B247" s="11" t="str">
        <f>CONCATENATE("          ", "6245", " - ", "PRINTING")</f>
        <v xml:space="preserve">          6245 - PRINTING</v>
      </c>
      <c r="C247" s="11"/>
      <c r="D247" s="7">
        <v>1766.38</v>
      </c>
      <c r="E247" s="2"/>
      <c r="F247" s="6">
        <f t="shared" si="121"/>
        <v>1.7006126328047021E-3</v>
      </c>
      <c r="G247" s="2"/>
      <c r="H247" s="7">
        <v>500</v>
      </c>
      <c r="I247" s="2"/>
      <c r="J247" s="6">
        <f t="shared" si="122"/>
        <v>3.5840469768205345E-4</v>
      </c>
      <c r="K247" s="2"/>
      <c r="L247" s="7">
        <f t="shared" si="123"/>
        <v>1266.3800000000001</v>
      </c>
      <c r="M247" s="2"/>
      <c r="N247" s="6">
        <f t="shared" si="124"/>
        <v>2.5327600000000001</v>
      </c>
      <c r="O247" s="11"/>
      <c r="P247" s="7">
        <v>3120.59</v>
      </c>
      <c r="Q247" s="2"/>
      <c r="R247" s="6">
        <f t="shared" si="125"/>
        <v>3.4658490630779605E-4</v>
      </c>
      <c r="S247" s="2"/>
      <c r="T247" s="7">
        <v>7100</v>
      </c>
      <c r="U247" s="2"/>
      <c r="V247" s="6">
        <f t="shared" si="126"/>
        <v>4.6614870760927364E-4</v>
      </c>
      <c r="W247" s="2"/>
      <c r="X247" s="7">
        <f t="shared" si="127"/>
        <v>-3979.41</v>
      </c>
      <c r="Y247" s="2"/>
      <c r="Z247" s="6">
        <f t="shared" si="128"/>
        <v>-0.56048028169014086</v>
      </c>
    </row>
    <row r="248" spans="1:26" s="24" customFormat="1" hidden="1" outlineLevel="2" x14ac:dyDescent="0.25">
      <c r="A248" s="26"/>
      <c r="B248" s="11" t="str">
        <f>CONCATENATE("          ", "6246", " - ", "REPLACEMENTS")</f>
        <v xml:space="preserve">          6246 - REPLACEMENTS</v>
      </c>
      <c r="C248" s="11"/>
      <c r="D248" s="7"/>
      <c r="E248" s="2"/>
      <c r="F248" s="6">
        <f t="shared" si="121"/>
        <v>0</v>
      </c>
      <c r="G248" s="2"/>
      <c r="H248" s="7">
        <v>0</v>
      </c>
      <c r="I248" s="2"/>
      <c r="J248" s="6">
        <f t="shared" si="122"/>
        <v>0</v>
      </c>
      <c r="K248" s="2"/>
      <c r="L248" s="7">
        <f t="shared" si="123"/>
        <v>0</v>
      </c>
      <c r="M248" s="2"/>
      <c r="N248" s="6">
        <f t="shared" si="124"/>
        <v>0</v>
      </c>
      <c r="O248" s="11"/>
      <c r="P248" s="7"/>
      <c r="Q248" s="2"/>
      <c r="R248" s="6">
        <f t="shared" si="125"/>
        <v>0</v>
      </c>
      <c r="S248" s="2"/>
      <c r="T248" s="7">
        <v>0</v>
      </c>
      <c r="U248" s="2"/>
      <c r="V248" s="6">
        <f t="shared" si="126"/>
        <v>0</v>
      </c>
      <c r="W248" s="2"/>
      <c r="X248" s="7">
        <f t="shared" si="127"/>
        <v>0</v>
      </c>
      <c r="Y248" s="2"/>
      <c r="Z248" s="6">
        <f t="shared" si="128"/>
        <v>0</v>
      </c>
    </row>
    <row r="249" spans="1:26" s="24" customFormat="1" hidden="1" outlineLevel="2" x14ac:dyDescent="0.25">
      <c r="A249" s="26"/>
      <c r="B249" s="11" t="str">
        <f>CONCATENATE("          ", "6247", " - ", "STORE SUPPLIES")</f>
        <v xml:space="preserve">          6247 - STORE SUPPLIES</v>
      </c>
      <c r="C249" s="11"/>
      <c r="D249" s="7">
        <v>2162.46</v>
      </c>
      <c r="E249" s="2"/>
      <c r="F249" s="6">
        <f t="shared" si="121"/>
        <v>2.0819454443182419E-3</v>
      </c>
      <c r="G249" s="2"/>
      <c r="H249" s="7">
        <v>3570</v>
      </c>
      <c r="I249" s="2"/>
      <c r="J249" s="6">
        <f t="shared" si="122"/>
        <v>2.5590095414498616E-3</v>
      </c>
      <c r="K249" s="2"/>
      <c r="L249" s="7">
        <f t="shared" si="123"/>
        <v>-1407.54</v>
      </c>
      <c r="M249" s="2"/>
      <c r="N249" s="6">
        <f t="shared" si="124"/>
        <v>-0.39426890756302518</v>
      </c>
      <c r="O249" s="11"/>
      <c r="P249" s="7">
        <v>46587.59</v>
      </c>
      <c r="Q249" s="2"/>
      <c r="R249" s="6">
        <f t="shared" si="125"/>
        <v>5.174199595350884E-3</v>
      </c>
      <c r="S249" s="2"/>
      <c r="T249" s="7">
        <v>45570</v>
      </c>
      <c r="U249" s="2"/>
      <c r="V249" s="6">
        <f t="shared" si="126"/>
        <v>2.9918868458809296E-3</v>
      </c>
      <c r="W249" s="2"/>
      <c r="X249" s="7">
        <f t="shared" si="127"/>
        <v>1017.5899999999965</v>
      </c>
      <c r="Y249" s="2"/>
      <c r="Z249" s="6">
        <f t="shared" si="128"/>
        <v>2.2330261136712673E-2</v>
      </c>
    </row>
    <row r="250" spans="1:26" s="24" customFormat="1" hidden="1" outlineLevel="2" x14ac:dyDescent="0.25">
      <c r="A250" s="26"/>
      <c r="B250" s="11" t="str">
        <f>CONCATENATE("          ", "6248", " - ", "UNIFORMS")</f>
        <v xml:space="preserve">          6248 - UNIFORMS</v>
      </c>
      <c r="C250" s="11"/>
      <c r="D250" s="7"/>
      <c r="E250" s="2"/>
      <c r="F250" s="6">
        <f t="shared" si="121"/>
        <v>0</v>
      </c>
      <c r="G250" s="2"/>
      <c r="H250" s="7">
        <v>2000</v>
      </c>
      <c r="I250" s="2"/>
      <c r="J250" s="6">
        <f t="shared" si="122"/>
        <v>1.4336187907282138E-3</v>
      </c>
      <c r="K250" s="2"/>
      <c r="L250" s="7">
        <f t="shared" si="123"/>
        <v>-2000</v>
      </c>
      <c r="M250" s="2"/>
      <c r="N250" s="6">
        <f t="shared" si="124"/>
        <v>-1</v>
      </c>
      <c r="O250" s="11"/>
      <c r="P250" s="7">
        <v>4500.59</v>
      </c>
      <c r="Q250" s="2"/>
      <c r="R250" s="6">
        <f t="shared" si="125"/>
        <v>4.9985309299837655E-4</v>
      </c>
      <c r="S250" s="2"/>
      <c r="T250" s="7">
        <v>26265</v>
      </c>
      <c r="U250" s="2"/>
      <c r="V250" s="6">
        <f t="shared" si="126"/>
        <v>1.7244219444165593E-3</v>
      </c>
      <c r="W250" s="2"/>
      <c r="X250" s="7">
        <f t="shared" si="127"/>
        <v>-21764.41</v>
      </c>
      <c r="Y250" s="2"/>
      <c r="Z250" s="6">
        <f t="shared" si="128"/>
        <v>-0.82864686845612034</v>
      </c>
    </row>
    <row r="251" spans="1:26" s="25" customFormat="1" outlineLevel="1" collapsed="1" x14ac:dyDescent="0.25">
      <c r="A251" s="27"/>
      <c r="B251" s="13" t="str">
        <f>CONCATENATE("     ","Telephone/Data Lines                              ")</f>
        <v xml:space="preserve">     Telephone/Data Lines                              </v>
      </c>
      <c r="C251" s="13"/>
      <c r="D251" s="1">
        <f>SUM(OSRRefD22_23x_0)</f>
        <v>3143.26</v>
      </c>
      <c r="E251" s="1"/>
      <c r="F251" s="5">
        <f t="shared" ref="F251:F253" si="129">IF(D$12=0,0,D251/D$12)</f>
        <v>3.026227461921958E-3</v>
      </c>
      <c r="G251" s="1"/>
      <c r="H251" s="1">
        <f>SUM(OSRRefH22_23x_0)</f>
        <v>4740</v>
      </c>
      <c r="I251" s="1"/>
      <c r="J251" s="5">
        <f t="shared" ref="J251:J253" si="130">IF(H$12=0,0,H251/H$12)</f>
        <v>3.3976765340258666E-3</v>
      </c>
      <c r="K251" s="1"/>
      <c r="L251" s="1">
        <f t="shared" ref="L251:L253" si="131">+D251-H251</f>
        <v>-1596.7399999999998</v>
      </c>
      <c r="M251" s="1"/>
      <c r="N251" s="5">
        <f t="shared" ref="N251:N253" si="132">IF(H251=0,0,L251/H251)</f>
        <v>-0.33686497890295353</v>
      </c>
      <c r="O251" s="13"/>
      <c r="P251" s="1">
        <f>SUM(OSRRefP22_23x_0)</f>
        <v>40647.629999999997</v>
      </c>
      <c r="Q251" s="1"/>
      <c r="R251" s="5">
        <f t="shared" ref="R251:R253" si="133">IF(P$12=0,0,P251/P$12)</f>
        <v>4.5144844517171299E-3</v>
      </c>
      <c r="S251" s="1"/>
      <c r="T251" s="1">
        <f>SUM(OSRRefT22_23x_0)</f>
        <v>48397</v>
      </c>
      <c r="U251" s="1"/>
      <c r="V251" s="5">
        <f t="shared" ref="V251:V253" si="134">IF(T$12=0,0,T251/T$12)</f>
        <v>3.1774928172064809E-3</v>
      </c>
      <c r="W251" s="1"/>
      <c r="X251" s="1">
        <f t="shared" ref="X251:X253" si="135">+P251-T251</f>
        <v>-7749.3700000000026</v>
      </c>
      <c r="Y251" s="1"/>
      <c r="Z251" s="5">
        <f t="shared" ref="Z251:Z253" si="136">IF(T251=0,0,X251/T251)</f>
        <v>-0.16012087526086333</v>
      </c>
    </row>
    <row r="252" spans="1:26" s="24" customFormat="1" hidden="1" outlineLevel="2" x14ac:dyDescent="0.25">
      <c r="A252" s="26"/>
      <c r="B252" s="11" t="str">
        <f>CONCATENATE("          ", "6303", " - ", "DATA PHONE LINES")</f>
        <v xml:space="preserve">          6303 - DATA PHONE LINES</v>
      </c>
      <c r="C252" s="11"/>
      <c r="D252" s="7">
        <v>590</v>
      </c>
      <c r="E252" s="2"/>
      <c r="F252" s="6">
        <f t="shared" si="129"/>
        <v>5.6803261662540004E-4</v>
      </c>
      <c r="G252" s="2"/>
      <c r="H252" s="7">
        <v>1500</v>
      </c>
      <c r="I252" s="2"/>
      <c r="J252" s="6">
        <f t="shared" si="130"/>
        <v>1.0752140930461603E-3</v>
      </c>
      <c r="K252" s="2"/>
      <c r="L252" s="7">
        <f t="shared" si="131"/>
        <v>-910</v>
      </c>
      <c r="M252" s="2"/>
      <c r="N252" s="6">
        <f t="shared" si="132"/>
        <v>-0.60666666666666669</v>
      </c>
      <c r="O252" s="11"/>
      <c r="P252" s="7">
        <v>3540</v>
      </c>
      <c r="Q252" s="2"/>
      <c r="R252" s="6">
        <f t="shared" si="133"/>
        <v>3.9316621803235863E-4</v>
      </c>
      <c r="S252" s="2"/>
      <c r="T252" s="7">
        <v>15037</v>
      </c>
      <c r="U252" s="2"/>
      <c r="V252" s="6">
        <f t="shared" si="134"/>
        <v>9.8725043891840104E-4</v>
      </c>
      <c r="W252" s="2"/>
      <c r="X252" s="7">
        <f t="shared" si="135"/>
        <v>-11497</v>
      </c>
      <c r="Y252" s="2"/>
      <c r="Z252" s="6">
        <f t="shared" si="136"/>
        <v>-0.76458070093768704</v>
      </c>
    </row>
    <row r="253" spans="1:26" s="24" customFormat="1" hidden="1" outlineLevel="2" x14ac:dyDescent="0.25">
      <c r="A253" s="26"/>
      <c r="B253" s="11" t="str">
        <f>CONCATENATE("          ", "6309", " - ", "TELEPHONE")</f>
        <v xml:space="preserve">          6309 - TELEPHONE</v>
      </c>
      <c r="C253" s="11"/>
      <c r="D253" s="7">
        <v>2553.2600000000002</v>
      </c>
      <c r="E253" s="2"/>
      <c r="F253" s="6">
        <f t="shared" si="129"/>
        <v>2.4581948452965579E-3</v>
      </c>
      <c r="G253" s="2"/>
      <c r="H253" s="7">
        <v>3240</v>
      </c>
      <c r="I253" s="2"/>
      <c r="J253" s="6">
        <f t="shared" si="130"/>
        <v>2.3224624409797063E-3</v>
      </c>
      <c r="K253" s="2"/>
      <c r="L253" s="7">
        <f t="shared" si="131"/>
        <v>-686.73999999999978</v>
      </c>
      <c r="M253" s="2"/>
      <c r="N253" s="6">
        <f t="shared" si="132"/>
        <v>-0.21195679012345672</v>
      </c>
      <c r="O253" s="11"/>
      <c r="P253" s="7">
        <v>37107.629999999997</v>
      </c>
      <c r="Q253" s="2"/>
      <c r="R253" s="6">
        <f t="shared" si="133"/>
        <v>4.1213182336847717E-3</v>
      </c>
      <c r="S253" s="2"/>
      <c r="T253" s="7">
        <v>33360</v>
      </c>
      <c r="U253" s="2"/>
      <c r="V253" s="6">
        <f t="shared" si="134"/>
        <v>2.1902423782880799E-3</v>
      </c>
      <c r="W253" s="2"/>
      <c r="X253" s="7">
        <f t="shared" si="135"/>
        <v>3747.6299999999974</v>
      </c>
      <c r="Y253" s="2"/>
      <c r="Z253" s="6">
        <f t="shared" si="136"/>
        <v>0.11233902877697834</v>
      </c>
    </row>
    <row r="254" spans="1:26" s="25" customFormat="1" outlineLevel="1" collapsed="1" x14ac:dyDescent="0.25">
      <c r="A254" s="27"/>
      <c r="B254" s="13" t="str">
        <f>CONCATENATE("     ","Training                                          ")</f>
        <v xml:space="preserve">     Training                                          </v>
      </c>
      <c r="C254" s="13"/>
      <c r="D254" s="1">
        <f>SUM(OSRRefD22_24x_0)</f>
        <v>0</v>
      </c>
      <c r="E254" s="1"/>
      <c r="F254" s="5">
        <f t="shared" ref="F254:F259" si="137">IF(D$12=0,0,D254/D$12)</f>
        <v>0</v>
      </c>
      <c r="G254" s="1"/>
      <c r="H254" s="1">
        <f>SUM(OSRRefH22_24x_0)</f>
        <v>2250</v>
      </c>
      <c r="I254" s="1"/>
      <c r="J254" s="5">
        <f t="shared" ref="J254:J259" si="138">IF(H$12=0,0,H254/H$12)</f>
        <v>1.6128211395692405E-3</v>
      </c>
      <c r="K254" s="1"/>
      <c r="L254" s="1">
        <f t="shared" ref="L254:L259" si="139">+D254-H254</f>
        <v>-2250</v>
      </c>
      <c r="M254" s="1"/>
      <c r="N254" s="5">
        <f t="shared" ref="N254:N259" si="140">IF(H254=0,0,L254/H254)</f>
        <v>-1</v>
      </c>
      <c r="O254" s="13"/>
      <c r="P254" s="1">
        <f>SUM(OSRRefP22_24x_0)</f>
        <v>2181.86</v>
      </c>
      <c r="Q254" s="1"/>
      <c r="R254" s="5">
        <f t="shared" ref="R254:R259" si="141">IF(P$12=0,0,P254/P$12)</f>
        <v>2.4232588827007966E-4</v>
      </c>
      <c r="S254" s="1"/>
      <c r="T254" s="1">
        <f>SUM(OSRRefT22_24x_0)</f>
        <v>27860</v>
      </c>
      <c r="U254" s="1"/>
      <c r="V254" s="5">
        <f t="shared" ref="V254:V259" si="142">IF(T$12=0,0,T254/T$12)</f>
        <v>1.8291412667597695E-3</v>
      </c>
      <c r="W254" s="1"/>
      <c r="X254" s="1">
        <f t="shared" ref="X254:X259" si="143">+P254-T254</f>
        <v>-25678.14</v>
      </c>
      <c r="Y254" s="1"/>
      <c r="Z254" s="5">
        <f t="shared" ref="Z254:Z259" si="144">IF(T254=0,0,X254/T254)</f>
        <v>-0.92168485283560664</v>
      </c>
    </row>
    <row r="255" spans="1:26" s="24" customFormat="1" hidden="1" outlineLevel="2" x14ac:dyDescent="0.25">
      <c r="A255" s="26"/>
      <c r="B255" s="11" t="str">
        <f>CONCATENATE("          ", "6376", " - ", "TRAINING")</f>
        <v xml:space="preserve">          6376 - TRAINING</v>
      </c>
      <c r="C255" s="11"/>
      <c r="D255" s="7"/>
      <c r="E255" s="2"/>
      <c r="F255" s="6">
        <f t="shared" si="137"/>
        <v>0</v>
      </c>
      <c r="G255" s="2"/>
      <c r="H255" s="7">
        <v>2250</v>
      </c>
      <c r="I255" s="2"/>
      <c r="J255" s="6">
        <f t="shared" si="138"/>
        <v>1.6128211395692405E-3</v>
      </c>
      <c r="K255" s="2"/>
      <c r="L255" s="7">
        <f t="shared" si="139"/>
        <v>-2250</v>
      </c>
      <c r="M255" s="2"/>
      <c r="N255" s="6">
        <f t="shared" si="140"/>
        <v>-1</v>
      </c>
      <c r="O255" s="11"/>
      <c r="P255" s="7">
        <v>2181.86</v>
      </c>
      <c r="Q255" s="2"/>
      <c r="R255" s="6">
        <f t="shared" si="141"/>
        <v>2.4232588827007966E-4</v>
      </c>
      <c r="S255" s="2"/>
      <c r="T255" s="7">
        <v>27860</v>
      </c>
      <c r="U255" s="2"/>
      <c r="V255" s="6">
        <f t="shared" si="142"/>
        <v>1.8291412667597695E-3</v>
      </c>
      <c r="W255" s="2"/>
      <c r="X255" s="7">
        <f t="shared" si="143"/>
        <v>-25678.14</v>
      </c>
      <c r="Y255" s="2"/>
      <c r="Z255" s="6">
        <f t="shared" si="144"/>
        <v>-0.92168485283560664</v>
      </c>
    </row>
    <row r="256" spans="1:26" s="25" customFormat="1" outlineLevel="1" collapsed="1" x14ac:dyDescent="0.25">
      <c r="A256" s="27"/>
      <c r="B256" s="13" t="str">
        <f>CONCATENATE("     ","Travel                                            ")</f>
        <v xml:space="preserve">     Travel                                            </v>
      </c>
      <c r="C256" s="13"/>
      <c r="D256" s="1">
        <f>SUM(OSRRefD22_25x_0)</f>
        <v>229.37</v>
      </c>
      <c r="E256" s="1"/>
      <c r="F256" s="5">
        <f t="shared" si="137"/>
        <v>2.2082990046672546E-4</v>
      </c>
      <c r="G256" s="1"/>
      <c r="H256" s="1">
        <f>SUM(OSRRefH22_25x_0)</f>
        <v>350</v>
      </c>
      <c r="I256" s="1"/>
      <c r="J256" s="5">
        <f t="shared" si="138"/>
        <v>2.5088328837743741E-4</v>
      </c>
      <c r="K256" s="1"/>
      <c r="L256" s="1">
        <f t="shared" si="139"/>
        <v>-120.63</v>
      </c>
      <c r="M256" s="1"/>
      <c r="N256" s="5">
        <f t="shared" si="140"/>
        <v>-0.34465714285714283</v>
      </c>
      <c r="O256" s="13"/>
      <c r="P256" s="1">
        <f>SUM(OSRRefP22_25x_0)</f>
        <v>1464.9099999999999</v>
      </c>
      <c r="Q256" s="1"/>
      <c r="R256" s="5">
        <f t="shared" si="141"/>
        <v>1.6269862272818712E-4</v>
      </c>
      <c r="S256" s="1"/>
      <c r="T256" s="1">
        <f>SUM(OSRRefT22_25x_0)</f>
        <v>5200</v>
      </c>
      <c r="U256" s="1"/>
      <c r="V256" s="5">
        <f t="shared" si="142"/>
        <v>3.4140468726312999E-4</v>
      </c>
      <c r="W256" s="1"/>
      <c r="X256" s="1">
        <f t="shared" si="143"/>
        <v>-3735.09</v>
      </c>
      <c r="Y256" s="1"/>
      <c r="Z256" s="5">
        <f t="shared" si="144"/>
        <v>-0.71828653846153845</v>
      </c>
    </row>
    <row r="257" spans="1:26" s="24" customFormat="1" hidden="1" outlineLevel="2" x14ac:dyDescent="0.25">
      <c r="A257" s="26"/>
      <c r="B257" s="11" t="str">
        <f>CONCATENATE("          ", "6292", " - ", "TRAVEL/CONFERENCE")</f>
        <v xml:space="preserve">          6292 - TRAVEL/CONFERENCE</v>
      </c>
      <c r="C257" s="11"/>
      <c r="D257" s="7"/>
      <c r="E257" s="2"/>
      <c r="F257" s="6">
        <f t="shared" si="137"/>
        <v>0</v>
      </c>
      <c r="G257" s="2"/>
      <c r="H257" s="7">
        <v>300</v>
      </c>
      <c r="I257" s="2"/>
      <c r="J257" s="6">
        <f t="shared" si="138"/>
        <v>2.1504281860923208E-4</v>
      </c>
      <c r="K257" s="2"/>
      <c r="L257" s="7">
        <f t="shared" si="139"/>
        <v>-300</v>
      </c>
      <c r="M257" s="2"/>
      <c r="N257" s="6">
        <f t="shared" si="140"/>
        <v>-1</v>
      </c>
      <c r="O257" s="11"/>
      <c r="P257" s="7">
        <v>299.16000000000003</v>
      </c>
      <c r="Q257" s="2"/>
      <c r="R257" s="6">
        <f t="shared" si="141"/>
        <v>3.3225877340836273E-5</v>
      </c>
      <c r="S257" s="2"/>
      <c r="T257" s="7">
        <v>4500</v>
      </c>
      <c r="U257" s="2"/>
      <c r="V257" s="6">
        <f t="shared" si="142"/>
        <v>2.9544636397770864E-4</v>
      </c>
      <c r="W257" s="2"/>
      <c r="X257" s="7">
        <f t="shared" si="143"/>
        <v>-4200.84</v>
      </c>
      <c r="Y257" s="2"/>
      <c r="Z257" s="6">
        <f t="shared" si="144"/>
        <v>-0.93352000000000002</v>
      </c>
    </row>
    <row r="258" spans="1:26" s="24" customFormat="1" hidden="1" outlineLevel="2" x14ac:dyDescent="0.25">
      <c r="A258" s="26"/>
      <c r="B258" s="11" t="str">
        <f>CONCATENATE("          ", "6294", " - ", "TRAVEL OPERATIONAL")</f>
        <v xml:space="preserve">          6294 - TRAVEL OPERATIONAL</v>
      </c>
      <c r="C258" s="11"/>
      <c r="D258" s="7">
        <v>229.37</v>
      </c>
      <c r="E258" s="2"/>
      <c r="F258" s="6">
        <f t="shared" si="137"/>
        <v>2.2082990046672546E-4</v>
      </c>
      <c r="G258" s="2"/>
      <c r="H258" s="7">
        <v>25</v>
      </c>
      <c r="I258" s="2"/>
      <c r="J258" s="6">
        <f t="shared" si="138"/>
        <v>1.7920234884102671E-5</v>
      </c>
      <c r="K258" s="2"/>
      <c r="L258" s="7">
        <f t="shared" si="139"/>
        <v>204.37</v>
      </c>
      <c r="M258" s="2"/>
      <c r="N258" s="6">
        <f t="shared" si="140"/>
        <v>8.1747999999999994</v>
      </c>
      <c r="O258" s="11"/>
      <c r="P258" s="7">
        <v>773.65</v>
      </c>
      <c r="Q258" s="2"/>
      <c r="R258" s="6">
        <f t="shared" si="141"/>
        <v>8.5924588864614188E-5</v>
      </c>
      <c r="S258" s="2"/>
      <c r="T258" s="7">
        <v>250</v>
      </c>
      <c r="U258" s="2"/>
      <c r="V258" s="6">
        <f t="shared" si="142"/>
        <v>1.6413686887650481E-5</v>
      </c>
      <c r="W258" s="2"/>
      <c r="X258" s="7">
        <f t="shared" si="143"/>
        <v>523.65</v>
      </c>
      <c r="Y258" s="2"/>
      <c r="Z258" s="6">
        <f t="shared" si="144"/>
        <v>2.0945999999999998</v>
      </c>
    </row>
    <row r="259" spans="1:26" s="24" customFormat="1" hidden="1" outlineLevel="2" x14ac:dyDescent="0.25">
      <c r="A259" s="26"/>
      <c r="B259" s="11" t="str">
        <f>CONCATENATE("          ", "6298", " - ", "VEHICLE MILEAGE")</f>
        <v xml:space="preserve">          6298 - VEHICLE MILEAGE</v>
      </c>
      <c r="C259" s="11"/>
      <c r="D259" s="7"/>
      <c r="E259" s="2"/>
      <c r="F259" s="6">
        <f t="shared" si="137"/>
        <v>0</v>
      </c>
      <c r="G259" s="2"/>
      <c r="H259" s="7">
        <v>25</v>
      </c>
      <c r="I259" s="2"/>
      <c r="J259" s="6">
        <f t="shared" si="138"/>
        <v>1.7920234884102671E-5</v>
      </c>
      <c r="K259" s="2"/>
      <c r="L259" s="7">
        <f t="shared" si="139"/>
        <v>-25</v>
      </c>
      <c r="M259" s="2"/>
      <c r="N259" s="6">
        <f t="shared" si="140"/>
        <v>-1</v>
      </c>
      <c r="O259" s="11"/>
      <c r="P259" s="7">
        <v>392.1</v>
      </c>
      <c r="Q259" s="2"/>
      <c r="R259" s="6">
        <f t="shared" si="141"/>
        <v>4.3548156522736677E-5</v>
      </c>
      <c r="S259" s="2"/>
      <c r="T259" s="7">
        <v>450</v>
      </c>
      <c r="U259" s="2"/>
      <c r="V259" s="6">
        <f t="shared" si="142"/>
        <v>2.9544636397770863E-5</v>
      </c>
      <c r="W259" s="2"/>
      <c r="X259" s="7">
        <f t="shared" si="143"/>
        <v>-57.899999999999977</v>
      </c>
      <c r="Y259" s="2"/>
      <c r="Z259" s="6">
        <f t="shared" si="144"/>
        <v>-0.12866666666666662</v>
      </c>
    </row>
    <row r="260" spans="1:26" s="25" customFormat="1" outlineLevel="1" collapsed="1" x14ac:dyDescent="0.25">
      <c r="A260" s="27"/>
      <c r="B260" s="13" t="str">
        <f>CONCATENATE("     ","Utilities                                         ")</f>
        <v xml:space="preserve">     Utilities                                         </v>
      </c>
      <c r="C260" s="13"/>
      <c r="D260" s="1">
        <f>SUM(OSRRefD22_26x_0)</f>
        <v>10945.93</v>
      </c>
      <c r="E260" s="1"/>
      <c r="F260" s="5">
        <f t="shared" ref="F260:F261" si="145">IF(D$12=0,0,D260/D$12)</f>
        <v>1.0538381795421128E-2</v>
      </c>
      <c r="G260" s="1"/>
      <c r="H260" s="1">
        <f>SUM(OSRRefH22_26x_0)</f>
        <v>10255</v>
      </c>
      <c r="I260" s="1"/>
      <c r="J260" s="5">
        <f t="shared" ref="J260:J261" si="146">IF(H$12=0,0,H260/H$12)</f>
        <v>7.3508803494589164E-3</v>
      </c>
      <c r="K260" s="1"/>
      <c r="L260" s="1">
        <f t="shared" ref="L260:L261" si="147">+D260-H260</f>
        <v>690.93000000000029</v>
      </c>
      <c r="M260" s="1"/>
      <c r="N260" s="5">
        <f t="shared" ref="N260:N261" si="148">IF(H260=0,0,L260/H260)</f>
        <v>6.7374939054119967E-2</v>
      </c>
      <c r="O260" s="13"/>
      <c r="P260" s="1">
        <f>SUM(OSRRefP22_26x_0)</f>
        <v>66651.55</v>
      </c>
      <c r="Q260" s="1"/>
      <c r="R260" s="5">
        <f t="shared" ref="R260:R261" si="149">IF(P$12=0,0,P260/P$12)</f>
        <v>7.4025813105917104E-3</v>
      </c>
      <c r="S260" s="1"/>
      <c r="T260" s="1">
        <f>SUM(OSRRefT22_26x_0)</f>
        <v>105824</v>
      </c>
      <c r="U260" s="1"/>
      <c r="V260" s="5">
        <f t="shared" ref="V260:V261" si="150">IF(T$12=0,0,T260/T$12)</f>
        <v>6.9478480047948975E-3</v>
      </c>
      <c r="W260" s="1"/>
      <c r="X260" s="1">
        <f t="shared" ref="X260:X261" si="151">+P260-T260</f>
        <v>-39172.449999999997</v>
      </c>
      <c r="Y260" s="1"/>
      <c r="Z260" s="5">
        <f t="shared" ref="Z260:Z261" si="152">IF(T260=0,0,X260/T260)</f>
        <v>-0.37016603039008161</v>
      </c>
    </row>
    <row r="261" spans="1:26" s="24" customFormat="1" hidden="1" outlineLevel="2" x14ac:dyDescent="0.25">
      <c r="A261" s="26"/>
      <c r="B261" s="11" t="str">
        <f>CONCATENATE("          ", "6274", " - ", "UTILITIES")</f>
        <v xml:space="preserve">          6274 - UTILITIES</v>
      </c>
      <c r="C261" s="11"/>
      <c r="D261" s="7">
        <v>10945.93</v>
      </c>
      <c r="E261" s="2"/>
      <c r="F261" s="6">
        <f t="shared" si="145"/>
        <v>1.0538381795421128E-2</v>
      </c>
      <c r="G261" s="2"/>
      <c r="H261" s="7">
        <v>10255</v>
      </c>
      <c r="I261" s="2"/>
      <c r="J261" s="6">
        <f t="shared" si="146"/>
        <v>7.3508803494589164E-3</v>
      </c>
      <c r="K261" s="2"/>
      <c r="L261" s="7">
        <f t="shared" si="147"/>
        <v>690.93000000000029</v>
      </c>
      <c r="M261" s="2"/>
      <c r="N261" s="6">
        <f t="shared" si="148"/>
        <v>6.7374939054119967E-2</v>
      </c>
      <c r="O261" s="11"/>
      <c r="P261" s="7">
        <v>66651.55</v>
      </c>
      <c r="Q261" s="2"/>
      <c r="R261" s="6">
        <f t="shared" si="149"/>
        <v>7.4025813105917104E-3</v>
      </c>
      <c r="S261" s="2"/>
      <c r="T261" s="7">
        <v>105824</v>
      </c>
      <c r="U261" s="2"/>
      <c r="V261" s="6">
        <f t="shared" si="150"/>
        <v>6.9478480047948975E-3</v>
      </c>
      <c r="W261" s="2"/>
      <c r="X261" s="7">
        <f t="shared" si="151"/>
        <v>-39172.449999999997</v>
      </c>
      <c r="Y261" s="2"/>
      <c r="Z261" s="6">
        <f t="shared" si="152"/>
        <v>-0.37016603039008161</v>
      </c>
    </row>
    <row r="262" spans="1:26" s="61" customFormat="1" x14ac:dyDescent="0.25">
      <c r="A262" s="36"/>
      <c r="B262" s="36"/>
      <c r="C262" s="36"/>
      <c r="D262" s="1"/>
      <c r="E262" s="1"/>
      <c r="F262" s="5"/>
      <c r="G262" s="1"/>
      <c r="H262" s="1"/>
      <c r="I262" s="1"/>
      <c r="J262" s="5"/>
      <c r="K262" s="1"/>
      <c r="L262" s="1"/>
      <c r="M262" s="1"/>
      <c r="N262" s="5"/>
      <c r="O262" s="36"/>
      <c r="P262" s="1"/>
      <c r="Q262" s="1"/>
      <c r="R262" s="5"/>
      <c r="S262" s="1"/>
      <c r="T262" s="1"/>
      <c r="U262" s="1"/>
      <c r="V262" s="5"/>
      <c r="W262" s="1"/>
      <c r="X262" s="1"/>
      <c r="Y262" s="1"/>
      <c r="Z262" s="5"/>
    </row>
    <row r="263" spans="1:26" s="23" customFormat="1" collapsed="1" x14ac:dyDescent="0.25">
      <c r="A263" s="10"/>
      <c r="B263" s="29" t="s">
        <v>293</v>
      </c>
      <c r="C263" s="10"/>
      <c r="D263" s="4">
        <f>SUM(OSRRefD25x_0)</f>
        <v>9388.5000000000018</v>
      </c>
      <c r="E263" s="4"/>
      <c r="F263" s="12">
        <f t="shared" ref="F263:F271" si="153">IF(D$12=0,0,D263/D$12)</f>
        <v>9.0389393579450323E-3</v>
      </c>
      <c r="G263" s="4"/>
      <c r="H263" s="4">
        <f>SUM(OSRRefH25x_0)</f>
        <v>51978</v>
      </c>
      <c r="I263" s="4"/>
      <c r="J263" s="12">
        <f t="shared" ref="J263:J271" si="154">IF(H$12=0,0,H263/H$12)</f>
        <v>3.725831875223555E-2</v>
      </c>
      <c r="K263" s="4"/>
      <c r="L263" s="4">
        <f t="shared" ref="L263:L271" si="155">+D263-H263</f>
        <v>-42589.5</v>
      </c>
      <c r="M263" s="4"/>
      <c r="N263" s="12">
        <f t="shared" ref="N263:N271" si="156">IF(H263=0,0,L263/H263)</f>
        <v>-0.81937550502135514</v>
      </c>
      <c r="O263" s="10"/>
      <c r="P263" s="4">
        <f>SUM(OSRRefP25x_0)</f>
        <v>1021334.9500000001</v>
      </c>
      <c r="Q263" s="4"/>
      <c r="R263" s="12">
        <f t="shared" ref="R263:R271" si="157">IF(P$12=0,0,P263/P$12)</f>
        <v>0.11343344622479326</v>
      </c>
      <c r="S263" s="4"/>
      <c r="T263" s="4">
        <f>SUM(OSRRefT25x_0)</f>
        <v>981354</v>
      </c>
      <c r="U263" s="4"/>
      <c r="V263" s="12">
        <f t="shared" ref="V263:V271" si="158">IF(T$12=0,0,T263/T$12)</f>
        <v>6.4430549127773393E-2</v>
      </c>
      <c r="W263" s="4"/>
      <c r="X263" s="4">
        <f t="shared" ref="X263:X271" si="159">+P263-T263</f>
        <v>39980.95000000007</v>
      </c>
      <c r="Y263" s="4"/>
      <c r="Z263" s="12">
        <f t="shared" ref="Z263:Z271" si="160">IF(T263=0,0,X263/T263)</f>
        <v>4.0740599212924257E-2</v>
      </c>
    </row>
    <row r="264" spans="1:26" s="24" customFormat="1" hidden="1" outlineLevel="1" x14ac:dyDescent="0.25">
      <c r="A264" s="44"/>
      <c r="B264" s="11" t="str">
        <f>CONCATENATE("          ", "4098", " - ", "TAXABLE SALES-GRAD RENTALS")</f>
        <v xml:space="preserve">          4098 - TAXABLE SALES-GRAD RENTALS</v>
      </c>
      <c r="C264" s="11"/>
      <c r="D264" s="2">
        <f>--49.95</f>
        <v>49.95</v>
      </c>
      <c r="E264" s="2"/>
      <c r="F264" s="19">
        <f t="shared" si="153"/>
        <v>4.8090218983794465E-5</v>
      </c>
      <c r="G264" s="2"/>
      <c r="H264" s="2"/>
      <c r="I264" s="2"/>
      <c r="J264" s="19">
        <f t="shared" si="154"/>
        <v>0</v>
      </c>
      <c r="K264" s="2"/>
      <c r="L264" s="2">
        <f t="shared" si="155"/>
        <v>49.95</v>
      </c>
      <c r="M264" s="2"/>
      <c r="N264" s="19">
        <f t="shared" si="156"/>
        <v>0</v>
      </c>
      <c r="O264" s="11"/>
      <c r="P264" s="2">
        <f>--49.95</f>
        <v>49.95</v>
      </c>
      <c r="Q264" s="2"/>
      <c r="R264" s="19">
        <f t="shared" si="157"/>
        <v>5.5476419747786198E-6</v>
      </c>
      <c r="S264" s="2"/>
      <c r="T264" s="2"/>
      <c r="U264" s="2"/>
      <c r="V264" s="19">
        <f t="shared" si="158"/>
        <v>0</v>
      </c>
      <c r="W264" s="2"/>
      <c r="X264" s="2">
        <f t="shared" si="159"/>
        <v>49.95</v>
      </c>
      <c r="Y264" s="2"/>
      <c r="Z264" s="19">
        <f t="shared" si="160"/>
        <v>0</v>
      </c>
    </row>
    <row r="265" spans="1:26" s="24" customFormat="1" hidden="1" outlineLevel="1" x14ac:dyDescent="0.25">
      <c r="A265" s="44"/>
      <c r="B265" s="11" t="str">
        <f>CONCATENATE("          ", "4187", " - ", "NON-TAXABLE SALES-COMPUTER REP")</f>
        <v xml:space="preserve">          4187 - NON-TAXABLE SALES-COMPUTER REP</v>
      </c>
      <c r="C265" s="11"/>
      <c r="D265" s="2">
        <f>--1700.99</f>
        <v>1700.99</v>
      </c>
      <c r="E265" s="2"/>
      <c r="F265" s="19">
        <f t="shared" si="153"/>
        <v>1.6376572890739649E-3</v>
      </c>
      <c r="G265" s="2"/>
      <c r="H265" s="2"/>
      <c r="I265" s="2"/>
      <c r="J265" s="19">
        <f t="shared" si="154"/>
        <v>0</v>
      </c>
      <c r="K265" s="2"/>
      <c r="L265" s="2">
        <f t="shared" si="155"/>
        <v>1700.99</v>
      </c>
      <c r="M265" s="2"/>
      <c r="N265" s="19">
        <f t="shared" si="156"/>
        <v>0</v>
      </c>
      <c r="O265" s="11"/>
      <c r="P265" s="2">
        <f>--3315.96</f>
        <v>3315.96</v>
      </c>
      <c r="Q265" s="2"/>
      <c r="R265" s="19">
        <f t="shared" si="157"/>
        <v>3.6828346111485307E-4</v>
      </c>
      <c r="S265" s="2"/>
      <c r="T265" s="2"/>
      <c r="U265" s="2"/>
      <c r="V265" s="19">
        <f t="shared" si="158"/>
        <v>0</v>
      </c>
      <c r="W265" s="2"/>
      <c r="X265" s="2">
        <f t="shared" si="159"/>
        <v>3315.96</v>
      </c>
      <c r="Y265" s="2"/>
      <c r="Z265" s="19">
        <f t="shared" si="160"/>
        <v>0</v>
      </c>
    </row>
    <row r="266" spans="1:26" s="24" customFormat="1" hidden="1" outlineLevel="1" x14ac:dyDescent="0.25">
      <c r="A266" s="44"/>
      <c r="B266" s="11" t="str">
        <f>CONCATENATE("          ", "9150", " - ", "MISC. INCOME")</f>
        <v xml:space="preserve">          9150 - MISC. INCOME</v>
      </c>
      <c r="C266" s="11"/>
      <c r="D266" s="2">
        <f>--6004.77</f>
        <v>6004.77</v>
      </c>
      <c r="E266" s="2"/>
      <c r="F266" s="19">
        <f t="shared" si="153"/>
        <v>5.7811952802266165E-3</v>
      </c>
      <c r="G266" s="2"/>
      <c r="H266" s="2">
        <v>28069</v>
      </c>
      <c r="I266" s="2"/>
      <c r="J266" s="19">
        <f t="shared" si="154"/>
        <v>2.0120122918475116E-2</v>
      </c>
      <c r="K266" s="2"/>
      <c r="L266" s="2">
        <f t="shared" si="155"/>
        <v>-22064.23</v>
      </c>
      <c r="M266" s="2"/>
      <c r="N266" s="19">
        <f t="shared" si="156"/>
        <v>-0.78607111047775124</v>
      </c>
      <c r="O266" s="11"/>
      <c r="P266" s="2">
        <f>--354541.6</f>
        <v>354541.6</v>
      </c>
      <c r="Q266" s="2"/>
      <c r="R266" s="19">
        <f t="shared" si="157"/>
        <v>3.9376774013316747E-2</v>
      </c>
      <c r="S266" s="2"/>
      <c r="T266" s="2">
        <v>270201</v>
      </c>
      <c r="U266" s="2"/>
      <c r="V266" s="19">
        <f t="shared" si="158"/>
        <v>1.773997844292019E-2</v>
      </c>
      <c r="W266" s="2"/>
      <c r="X266" s="2">
        <f t="shared" si="159"/>
        <v>84340.599999999977</v>
      </c>
      <c r="Y266" s="2"/>
      <c r="Z266" s="19">
        <f t="shared" si="160"/>
        <v>0.31214022153878029</v>
      </c>
    </row>
    <row r="267" spans="1:26" s="24" customFormat="1" hidden="1" outlineLevel="1" x14ac:dyDescent="0.25">
      <c r="A267" s="44"/>
      <c r="B267" s="11" t="str">
        <f>CONCATENATE("          ", "9151", " - ", "MISC. INCOME")</f>
        <v xml:space="preserve">          9151 - MISC. INCOME</v>
      </c>
      <c r="C267" s="11"/>
      <c r="D267" s="2">
        <f>0</f>
        <v>0</v>
      </c>
      <c r="E267" s="2"/>
      <c r="F267" s="19">
        <f t="shared" si="153"/>
        <v>0</v>
      </c>
      <c r="G267" s="2"/>
      <c r="H267" s="2">
        <v>22545</v>
      </c>
      <c r="I267" s="2"/>
      <c r="J267" s="19">
        <f t="shared" si="154"/>
        <v>1.6160467818483789E-2</v>
      </c>
      <c r="K267" s="2"/>
      <c r="L267" s="2">
        <f t="shared" si="155"/>
        <v>-22545</v>
      </c>
      <c r="M267" s="2"/>
      <c r="N267" s="19">
        <f t="shared" si="156"/>
        <v>-1</v>
      </c>
      <c r="O267" s="11"/>
      <c r="P267" s="2">
        <f>--295628.46</f>
        <v>295628.46000000002</v>
      </c>
      <c r="Q267" s="2"/>
      <c r="R267" s="19">
        <f t="shared" si="157"/>
        <v>3.2833650723426672E-2</v>
      </c>
      <c r="S267" s="2"/>
      <c r="T267" s="2">
        <v>700338</v>
      </c>
      <c r="U267" s="2"/>
      <c r="V267" s="19">
        <f t="shared" si="158"/>
        <v>4.5980514590093446E-2</v>
      </c>
      <c r="W267" s="2"/>
      <c r="X267" s="2">
        <f t="shared" si="159"/>
        <v>-404709.54</v>
      </c>
      <c r="Y267" s="2"/>
      <c r="Z267" s="19">
        <f t="shared" si="160"/>
        <v>-0.57787745345818731</v>
      </c>
    </row>
    <row r="268" spans="1:26" s="24" customFormat="1" hidden="1" outlineLevel="1" x14ac:dyDescent="0.25">
      <c r="A268" s="44"/>
      <c r="B268" s="11" t="str">
        <f>CONCATENATE("          ", "9152", " - ", "MISC. INCOME")</f>
        <v xml:space="preserve">          9152 - MISC. INCOME</v>
      </c>
      <c r="C268" s="11"/>
      <c r="D268" s="2">
        <f>--505.94</f>
        <v>505.94</v>
      </c>
      <c r="E268" s="2"/>
      <c r="F268" s="19">
        <f t="shared" si="153"/>
        <v>4.8710241026348291E-4</v>
      </c>
      <c r="G268" s="2"/>
      <c r="H268" s="2"/>
      <c r="I268" s="2"/>
      <c r="J268" s="19">
        <f t="shared" si="154"/>
        <v>0</v>
      </c>
      <c r="K268" s="2"/>
      <c r="L268" s="2">
        <f t="shared" si="155"/>
        <v>505.94</v>
      </c>
      <c r="M268" s="2"/>
      <c r="N268" s="19">
        <f t="shared" si="156"/>
        <v>0</v>
      </c>
      <c r="O268" s="11"/>
      <c r="P268" s="2">
        <f>--4216.5</f>
        <v>4216.5</v>
      </c>
      <c r="Q268" s="2"/>
      <c r="R268" s="19">
        <f t="shared" si="157"/>
        <v>4.6830094868176276E-4</v>
      </c>
      <c r="S268" s="2"/>
      <c r="T268" s="2"/>
      <c r="U268" s="2"/>
      <c r="V268" s="19">
        <f t="shared" si="158"/>
        <v>0</v>
      </c>
      <c r="W268" s="2"/>
      <c r="X268" s="2">
        <f t="shared" si="159"/>
        <v>4216.5</v>
      </c>
      <c r="Y268" s="2"/>
      <c r="Z268" s="19">
        <f t="shared" si="160"/>
        <v>0</v>
      </c>
    </row>
    <row r="269" spans="1:26" s="24" customFormat="1" hidden="1" outlineLevel="1" x14ac:dyDescent="0.25">
      <c r="A269" s="44"/>
      <c r="B269" s="11" t="str">
        <f>CONCATENATE("          ", "9160", " - ", "MISC. INCOME")</f>
        <v xml:space="preserve">          9160 - MISC. INCOME</v>
      </c>
      <c r="C269" s="11"/>
      <c r="D269" s="2">
        <f>--732.1</f>
        <v>732.1</v>
      </c>
      <c r="E269" s="2"/>
      <c r="F269" s="19">
        <f t="shared" si="153"/>
        <v>7.0484182818890742E-4</v>
      </c>
      <c r="G269" s="2"/>
      <c r="H269" s="2">
        <v>1364</v>
      </c>
      <c r="I269" s="2"/>
      <c r="J269" s="19">
        <f t="shared" si="154"/>
        <v>9.777280152766419E-4</v>
      </c>
      <c r="K269" s="2"/>
      <c r="L269" s="2">
        <f t="shared" si="155"/>
        <v>-631.9</v>
      </c>
      <c r="M269" s="2"/>
      <c r="N269" s="19">
        <f t="shared" si="156"/>
        <v>-0.46326979472140761</v>
      </c>
      <c r="O269" s="11"/>
      <c r="P269" s="2">
        <f>--13615.06</f>
        <v>13615.06</v>
      </c>
      <c r="Q269" s="2"/>
      <c r="R269" s="19">
        <f t="shared" si="157"/>
        <v>1.5121417086111991E-3</v>
      </c>
      <c r="S269" s="2"/>
      <c r="T269" s="2">
        <v>10815</v>
      </c>
      <c r="U269" s="2"/>
      <c r="V269" s="19">
        <f t="shared" si="158"/>
        <v>7.1005609475975975E-4</v>
      </c>
      <c r="W269" s="2"/>
      <c r="X269" s="2">
        <f t="shared" si="159"/>
        <v>2800.0599999999995</v>
      </c>
      <c r="Y269" s="2"/>
      <c r="Z269" s="19">
        <f t="shared" si="160"/>
        <v>0.25890522422561252</v>
      </c>
    </row>
    <row r="270" spans="1:26" s="24" customFormat="1" hidden="1" outlineLevel="1" x14ac:dyDescent="0.25">
      <c r="A270" s="44"/>
      <c r="B270" s="11" t="str">
        <f>CONCATENATE("          ", "9163", " - ", "MISC. INCOME")</f>
        <v xml:space="preserve">          9163 - MISC. INCOME</v>
      </c>
      <c r="C270" s="11"/>
      <c r="D270" s="2">
        <f>--44.1</f>
        <v>44.1</v>
      </c>
      <c r="E270" s="2"/>
      <c r="F270" s="19">
        <f t="shared" si="153"/>
        <v>4.2458031174881598E-5</v>
      </c>
      <c r="G270" s="2"/>
      <c r="H270" s="2"/>
      <c r="I270" s="2"/>
      <c r="J270" s="19">
        <f t="shared" si="154"/>
        <v>0</v>
      </c>
      <c r="K270" s="2"/>
      <c r="L270" s="2">
        <f t="shared" si="155"/>
        <v>44.1</v>
      </c>
      <c r="M270" s="2"/>
      <c r="N270" s="19">
        <f t="shared" si="156"/>
        <v>0</v>
      </c>
      <c r="O270" s="11"/>
      <c r="P270" s="2">
        <f>--346478.56</f>
        <v>346478.56</v>
      </c>
      <c r="Q270" s="2"/>
      <c r="R270" s="19">
        <f t="shared" si="157"/>
        <v>3.8481261317654704E-2</v>
      </c>
      <c r="S270" s="2"/>
      <c r="T270" s="2"/>
      <c r="U270" s="2"/>
      <c r="V270" s="19">
        <f t="shared" si="158"/>
        <v>0</v>
      </c>
      <c r="W270" s="2"/>
      <c r="X270" s="2">
        <f t="shared" si="159"/>
        <v>346478.56</v>
      </c>
      <c r="Y270" s="2"/>
      <c r="Z270" s="19">
        <f t="shared" si="160"/>
        <v>0</v>
      </c>
    </row>
    <row r="271" spans="1:26" s="24" customFormat="1" hidden="1" outlineLevel="1" x14ac:dyDescent="0.25">
      <c r="A271" s="44"/>
      <c r="B271" s="11" t="str">
        <f>CONCATENATE("          ", "9165", " - ", "OTHER INCOME")</f>
        <v xml:space="preserve">          9165 - OTHER INCOME</v>
      </c>
      <c r="C271" s="11"/>
      <c r="D271" s="2">
        <f>--350.65</f>
        <v>350.65</v>
      </c>
      <c r="E271" s="2"/>
      <c r="F271" s="19">
        <f t="shared" si="153"/>
        <v>3.3759430003338391E-4</v>
      </c>
      <c r="G271" s="2"/>
      <c r="H271" s="2"/>
      <c r="I271" s="2"/>
      <c r="J271" s="19">
        <f t="shared" si="154"/>
        <v>0</v>
      </c>
      <c r="K271" s="2"/>
      <c r="L271" s="2">
        <f t="shared" si="155"/>
        <v>350.65</v>
      </c>
      <c r="M271" s="2"/>
      <c r="N271" s="19">
        <f t="shared" si="156"/>
        <v>0</v>
      </c>
      <c r="O271" s="11"/>
      <c r="P271" s="2">
        <f>--3488.86</f>
        <v>3488.86</v>
      </c>
      <c r="Q271" s="2"/>
      <c r="R271" s="19">
        <f t="shared" si="157"/>
        <v>3.8748641001253525E-4</v>
      </c>
      <c r="S271" s="2"/>
      <c r="T271" s="2"/>
      <c r="U271" s="2"/>
      <c r="V271" s="19">
        <f t="shared" si="158"/>
        <v>0</v>
      </c>
      <c r="W271" s="2"/>
      <c r="X271" s="2">
        <f t="shared" si="159"/>
        <v>3488.86</v>
      </c>
      <c r="Y271" s="2"/>
      <c r="Z271" s="19">
        <f t="shared" si="160"/>
        <v>0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x14ac:dyDescent="0.25">
      <c r="A273" s="10"/>
      <c r="B273" s="28" t="s">
        <v>277</v>
      </c>
      <c r="C273" s="28"/>
      <c r="D273" s="21">
        <f>+D154-D156+D263</f>
        <v>-268039.45999999996</v>
      </c>
      <c r="E273" s="14"/>
      <c r="F273" s="20">
        <f>IF(D$12=0,0,D273/D$12)</f>
        <v>-0.25805958614010038</v>
      </c>
      <c r="G273" s="14"/>
      <c r="H273" s="21">
        <f>+H154-H156+H263</f>
        <v>-263442.62012809829</v>
      </c>
      <c r="I273" s="14"/>
      <c r="J273" s="20">
        <f>IF(H$12=0,0,H273/H$12)</f>
        <v>-0.18883814524715825</v>
      </c>
      <c r="K273" s="16"/>
      <c r="L273" s="21">
        <f>+D273-H273</f>
        <v>-4596.8398719016695</v>
      </c>
      <c r="M273" s="16"/>
      <c r="N273" s="20">
        <f>IF(H273=0,0,L273/H273)</f>
        <v>1.7449112332949272E-2</v>
      </c>
      <c r="O273" s="29"/>
      <c r="P273" s="21">
        <f>+P154-P156+P263</f>
        <v>-2389516.9399999985</v>
      </c>
      <c r="Q273" s="14"/>
      <c r="R273" s="20">
        <f>IF(P$12=0,0,P273/P$12)</f>
        <v>-0.2653890785943655</v>
      </c>
      <c r="S273" s="14"/>
      <c r="T273" s="21">
        <f>+T154-T156+T263</f>
        <v>-1376252.5747230463</v>
      </c>
      <c r="U273" s="14"/>
      <c r="V273" s="20">
        <f>IF(T$12=0,0,T273/T$12)</f>
        <v>-9.0357515359307514E-2</v>
      </c>
      <c r="W273" s="16"/>
      <c r="X273" s="21">
        <f>+P273-T273</f>
        <v>-1013264.3652769523</v>
      </c>
      <c r="Y273" s="16"/>
      <c r="Z273" s="20">
        <f>IF(T273=0,0,X273/T273)</f>
        <v>0.73624884260860268</v>
      </c>
    </row>
    <row r="274" spans="1:26" x14ac:dyDescent="0.25">
      <c r="A274" s="9"/>
      <c r="B274" s="10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x14ac:dyDescent="0.25">
      <c r="A275" s="52"/>
      <c r="B275" s="10" t="s">
        <v>128</v>
      </c>
      <c r="C275" s="10"/>
      <c r="D275" s="4">
        <v>242086.48</v>
      </c>
      <c r="E275" s="4"/>
      <c r="F275" s="12">
        <f>IF(D$12=0,0,D275/D$12)</f>
        <v>0.23307290963395352</v>
      </c>
      <c r="G275" s="4"/>
      <c r="H275" s="4">
        <v>309803</v>
      </c>
      <c r="I275" s="4"/>
      <c r="J275" s="12">
        <f>IF(H$12=0,0,H275/H$12)</f>
        <v>0.22206970111198643</v>
      </c>
      <c r="K275" s="4"/>
      <c r="L275" s="4">
        <f>+D275-H275</f>
        <v>-67716.51999999999</v>
      </c>
      <c r="M275" s="4"/>
      <c r="N275" s="12">
        <f>IF(H275=0,0,L275/H275)</f>
        <v>-0.21857929071054827</v>
      </c>
      <c r="O275" s="10"/>
      <c r="P275" s="4">
        <v>1883636.83</v>
      </c>
      <c r="Q275" s="4"/>
      <c r="R275" s="12">
        <f>IF(P$12=0,0,P275/P$12)</f>
        <v>0.20920405892586466</v>
      </c>
      <c r="S275" s="4"/>
      <c r="T275" s="4">
        <v>2760567</v>
      </c>
      <c r="U275" s="4"/>
      <c r="V275" s="12">
        <f>IF(T$12=0,0,T275/T$12)</f>
        <v>0.1812443294815225</v>
      </c>
      <c r="W275" s="4"/>
      <c r="X275" s="4">
        <f>+P275-T275</f>
        <v>-876930.16999999993</v>
      </c>
      <c r="Y275" s="4"/>
      <c r="Z275" s="12">
        <f>IF(T275=0,0,X275/T275)</f>
        <v>-0.31766306342139128</v>
      </c>
    </row>
    <row r="276" spans="1:26" x14ac:dyDescent="0.25">
      <c r="A276" s="9"/>
      <c r="B276" s="10"/>
      <c r="C276" s="10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O276" s="10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ht="15.75" thickBot="1" x14ac:dyDescent="0.3">
      <c r="A277" s="10"/>
      <c r="B277" s="28" t="s">
        <v>126</v>
      </c>
      <c r="C277" s="28"/>
      <c r="D277" s="31">
        <f>+D273-D275</f>
        <v>-510125.93999999994</v>
      </c>
      <c r="E277" s="14"/>
      <c r="F277" s="33">
        <f>IF(D$12=0,0,D277/D$12)</f>
        <v>-0.49113249577405388</v>
      </c>
      <c r="G277" s="14"/>
      <c r="H277" s="31">
        <f>+H273-H275</f>
        <v>-573245.62012809829</v>
      </c>
      <c r="I277" s="14"/>
      <c r="J277" s="33">
        <f>IF(H$12=0,0,H277/H$12)</f>
        <v>-0.41090784635914468</v>
      </c>
      <c r="K277" s="16"/>
      <c r="L277" s="31">
        <f>D277-H277</f>
        <v>63119.680128098349</v>
      </c>
      <c r="M277" s="16"/>
      <c r="N277" s="33">
        <f>IF(H277=0,0,L277/H277)</f>
        <v>-0.11010931075931035</v>
      </c>
      <c r="O277" s="29"/>
      <c r="P277" s="31">
        <f>+P273-P275</f>
        <v>-4273153.7699999986</v>
      </c>
      <c r="Q277" s="14"/>
      <c r="R277" s="33">
        <f>IF(P$12=0,0,P277/P$12)</f>
        <v>-0.47459313752023013</v>
      </c>
      <c r="S277" s="14"/>
      <c r="T277" s="31">
        <f>+T273-T275</f>
        <v>-4136819.5747230463</v>
      </c>
      <c r="U277" s="14"/>
      <c r="V277" s="33">
        <f>IF(T$12=0,0,T277/T$12)</f>
        <v>-0.27160184484083</v>
      </c>
      <c r="W277" s="16"/>
      <c r="X277" s="31">
        <f>P277-T277</f>
        <v>-136334.19527695235</v>
      </c>
      <c r="Y277" s="16"/>
      <c r="Z277" s="33">
        <f>IF(T277=0,0,X277/T277)</f>
        <v>3.2956282674252164E-2</v>
      </c>
    </row>
    <row r="278" spans="1:26" ht="15.75" thickTop="1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x14ac:dyDescent="0.25">
      <c r="A279" s="52"/>
      <c r="B279" s="10" t="s">
        <v>184</v>
      </c>
      <c r="C279" s="10"/>
      <c r="D279" s="4">
        <f>--334683.71</f>
        <v>334683.71000000002</v>
      </c>
      <c r="E279" s="4"/>
      <c r="F279" s="12">
        <f t="shared" ref="F279:F280" si="161">IF(D$12=0,0,D279/D$12)</f>
        <v>0.32222248056473995</v>
      </c>
      <c r="G279" s="4"/>
      <c r="H279" s="4">
        <f t="shared" ref="H279:H280" si="162">--15000</f>
        <v>15000</v>
      </c>
      <c r="I279" s="4"/>
      <c r="J279" s="12">
        <f t="shared" ref="J279:J280" si="163">IF(H$12=0,0,H279/H$12)</f>
        <v>1.0752140930461604E-2</v>
      </c>
      <c r="K279" s="4"/>
      <c r="L279" s="4">
        <f t="shared" ref="L279:L280" si="164">+D279-H279</f>
        <v>319683.71000000002</v>
      </c>
      <c r="M279" s="4"/>
      <c r="N279" s="12">
        <f t="shared" ref="N279:N280" si="165">IF(H279=0,0,L279/H279)</f>
        <v>21.312247333333335</v>
      </c>
      <c r="O279" s="10"/>
      <c r="P279" s="4">
        <f>--2631496.9</f>
        <v>2631496.9</v>
      </c>
      <c r="Q279" s="4"/>
      <c r="R279" s="12">
        <f t="shared" ref="R279:R280" si="166">IF(P$12=0,0,P279/P$12)</f>
        <v>0.29226431749629261</v>
      </c>
      <c r="S279" s="4"/>
      <c r="T279" s="4">
        <f t="shared" ref="T279:T280" si="167">--150000</f>
        <v>150000</v>
      </c>
      <c r="U279" s="4"/>
      <c r="V279" s="12">
        <f t="shared" ref="V279:V280" si="168">IF(T$12=0,0,T279/T$12)</f>
        <v>9.848212132590288E-3</v>
      </c>
      <c r="W279" s="4"/>
      <c r="X279" s="4">
        <f t="shared" ref="X279:X280" si="169">+P279-T279</f>
        <v>2481496.9</v>
      </c>
      <c r="Y279" s="4"/>
      <c r="Z279" s="12">
        <f t="shared" ref="Z279:Z280" si="170">IF(T279=0,0,X279/T279)</f>
        <v>16.543312666666665</v>
      </c>
    </row>
    <row r="280" spans="1:26" s="23" customFormat="1" x14ac:dyDescent="0.25">
      <c r="A280" s="52"/>
      <c r="B280" s="10" t="s">
        <v>82</v>
      </c>
      <c r="C280" s="10"/>
      <c r="D280" s="4">
        <f>--10223.34</f>
        <v>10223.34</v>
      </c>
      <c r="E280" s="4"/>
      <c r="F280" s="12">
        <f t="shared" si="161"/>
        <v>9.8426958827985047E-3</v>
      </c>
      <c r="G280" s="4"/>
      <c r="H280" s="4">
        <f t="shared" si="162"/>
        <v>15000</v>
      </c>
      <c r="I280" s="4"/>
      <c r="J280" s="12">
        <f t="shared" si="163"/>
        <v>1.0752140930461604E-2</v>
      </c>
      <c r="K280" s="4"/>
      <c r="L280" s="4">
        <f t="shared" si="164"/>
        <v>-4776.66</v>
      </c>
      <c r="M280" s="4"/>
      <c r="N280" s="12">
        <f t="shared" si="165"/>
        <v>-0.318444</v>
      </c>
      <c r="O280" s="10"/>
      <c r="P280" s="4">
        <f>--92759.53</f>
        <v>92759.53</v>
      </c>
      <c r="Q280" s="4"/>
      <c r="R280" s="12">
        <f t="shared" si="166"/>
        <v>1.0302235479253985E-2</v>
      </c>
      <c r="S280" s="4"/>
      <c r="T280" s="4">
        <f t="shared" si="167"/>
        <v>150000</v>
      </c>
      <c r="U280" s="4"/>
      <c r="V280" s="12">
        <f t="shared" si="168"/>
        <v>9.848212132590288E-3</v>
      </c>
      <c r="W280" s="4"/>
      <c r="X280" s="4">
        <f t="shared" si="169"/>
        <v>-57240.47</v>
      </c>
      <c r="Y280" s="4"/>
      <c r="Z280" s="12">
        <f t="shared" si="170"/>
        <v>-0.38160313333333334</v>
      </c>
    </row>
    <row r="281" spans="1:26" x14ac:dyDescent="0.25">
      <c r="A281" s="9"/>
      <c r="B281" s="9"/>
      <c r="C281" s="9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s="23" customFormat="1" ht="15.75" thickBot="1" x14ac:dyDescent="0.3">
      <c r="A282" s="10"/>
      <c r="B282" s="28" t="s">
        <v>294</v>
      </c>
      <c r="C282" s="28"/>
      <c r="D282" s="34">
        <f>SUM(D277:D281)</f>
        <v>-165218.88999999993</v>
      </c>
      <c r="E282" s="14"/>
      <c r="F282" s="35">
        <f>IF(D$12=0,0,D282/D$12)</f>
        <v>-0.15906731932651544</v>
      </c>
      <c r="G282" s="14"/>
      <c r="H282" s="34">
        <f>SUM(H277:H281)</f>
        <v>-543245.62012809829</v>
      </c>
      <c r="I282" s="14"/>
      <c r="J282" s="35">
        <f>IF(H$12=0,0,H282/H$12)</f>
        <v>-0.38940356449822144</v>
      </c>
      <c r="K282" s="16"/>
      <c r="L282" s="34">
        <f>+D282-H282</f>
        <v>378026.7301280984</v>
      </c>
      <c r="M282" s="16"/>
      <c r="N282" s="35">
        <f>IF(H282=0,0,L282/H282)</f>
        <v>-0.69586705556679684</v>
      </c>
      <c r="O282" s="29"/>
      <c r="P282" s="34">
        <f>SUM(P277:P281)</f>
        <v>-1548897.3399999987</v>
      </c>
      <c r="Q282" s="14"/>
      <c r="R282" s="35">
        <f>IF(P$12=0,0,P282/P$12)</f>
        <v>-0.17202658454468356</v>
      </c>
      <c r="S282" s="14"/>
      <c r="T282" s="34">
        <f>SUM(T277:T281)</f>
        <v>-3836819.5747230463</v>
      </c>
      <c r="U282" s="14"/>
      <c r="V282" s="35">
        <f>IF(T$12=0,0,T282/T$12)</f>
        <v>-0.25190542057564941</v>
      </c>
      <c r="W282" s="16"/>
      <c r="X282" s="34">
        <f>+P282-T282</f>
        <v>2287922.2347230474</v>
      </c>
      <c r="Y282" s="16"/>
      <c r="Z282" s="35">
        <f>IF(T282=0,0,X282/T282)</f>
        <v>-0.59630696470479638</v>
      </c>
    </row>
    <row r="283" spans="1:26" ht="15.75" thickTop="1" x14ac:dyDescent="0.25">
      <c r="A283" s="9"/>
      <c r="C283" s="9"/>
      <c r="D283" s="18"/>
      <c r="E283" s="18"/>
      <c r="G283" s="18"/>
      <c r="H283" s="18"/>
      <c r="I283" s="18"/>
      <c r="J283" s="43"/>
      <c r="K283" s="18"/>
      <c r="L283" s="18"/>
      <c r="M283" s="18"/>
      <c r="P283" s="18"/>
      <c r="Q283" s="18"/>
      <c r="R283" s="43"/>
      <c r="S283" s="18"/>
      <c r="T283" s="18"/>
      <c r="U283" s="18"/>
      <c r="V283" s="43"/>
      <c r="W283" s="18"/>
      <c r="X283" s="18"/>
    </row>
    <row r="284" spans="1:26" x14ac:dyDescent="0.25">
      <c r="A284" s="9"/>
      <c r="B284" s="62">
        <v>44330.005785613423</v>
      </c>
      <c r="D284" s="18"/>
      <c r="E284" s="18"/>
      <c r="G284" s="18"/>
      <c r="H284" s="18"/>
      <c r="I284" s="18"/>
      <c r="J284" s="43"/>
      <c r="K284" s="18"/>
      <c r="L284" s="18"/>
      <c r="M284" s="18"/>
      <c r="P284" s="18"/>
      <c r="Q284" s="18"/>
      <c r="R284" s="43"/>
      <c r="S284" s="18"/>
      <c r="T284" s="18"/>
      <c r="U284" s="18"/>
      <c r="V284" s="43"/>
      <c r="W284" s="18"/>
      <c r="X284" s="18"/>
    </row>
    <row r="285" spans="1:26" x14ac:dyDescent="0.25">
      <c r="A285" s="9"/>
      <c r="B285" s="56" t="s">
        <v>56</v>
      </c>
      <c r="D285" s="18"/>
      <c r="E285" s="18"/>
      <c r="G285" s="18"/>
      <c r="H285" s="18"/>
      <c r="I285" s="18"/>
      <c r="J285" s="43"/>
      <c r="K285" s="18"/>
      <c r="L285" s="18"/>
      <c r="M285" s="18"/>
      <c r="P285" s="18"/>
      <c r="Q285" s="18"/>
      <c r="R285" s="43"/>
      <c r="S285" s="18"/>
      <c r="T285" s="18"/>
      <c r="U285" s="18"/>
      <c r="V285" s="43"/>
      <c r="W285" s="18"/>
      <c r="X285" s="18"/>
    </row>
    <row r="286" spans="1:26" x14ac:dyDescent="0.25">
      <c r="A286" s="9"/>
      <c r="B286" s="55"/>
      <c r="D286" s="18"/>
      <c r="E286" s="18"/>
      <c r="G286" s="18"/>
      <c r="H286" s="18"/>
      <c r="I286" s="18"/>
      <c r="J286" s="43"/>
      <c r="K286" s="18"/>
      <c r="L286" s="18"/>
      <c r="M286" s="18"/>
      <c r="P286" s="18"/>
      <c r="Q286" s="18"/>
      <c r="R286" s="43"/>
      <c r="S286" s="18"/>
      <c r="T286" s="18"/>
      <c r="U286" s="18"/>
      <c r="V286" s="43"/>
      <c r="W286" s="18"/>
      <c r="X286" s="18"/>
    </row>
    <row r="287" spans="1:26" x14ac:dyDescent="0.25">
      <c r="D287" s="18"/>
      <c r="E287" s="18"/>
      <c r="G287" s="18"/>
      <c r="H287" s="18"/>
      <c r="I287" s="18"/>
      <c r="J287" s="43"/>
      <c r="K287" s="18"/>
      <c r="L287" s="18"/>
      <c r="M287" s="18"/>
      <c r="P287" s="18"/>
      <c r="Q287" s="18"/>
      <c r="R287" s="43"/>
      <c r="S287" s="18"/>
      <c r="T287" s="18"/>
      <c r="U287" s="18"/>
      <c r="V287" s="43"/>
      <c r="W287" s="18"/>
      <c r="X287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106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106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183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183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218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277</v>
      </c>
      <c r="C22" s="28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9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126</v>
      </c>
      <c r="C26" s="28"/>
      <c r="D26" s="31">
        <f>+D22-D24</f>
        <v>0</v>
      </c>
      <c r="E26" s="14"/>
      <c r="F26" s="33">
        <f>IF(D$12=0,0,D26/D$12)</f>
        <v>0</v>
      </c>
      <c r="G26" s="14"/>
      <c r="H26" s="31">
        <f>+H22-H24</f>
        <v>0</v>
      </c>
      <c r="I26" s="14"/>
      <c r="J26" s="33">
        <f>IF(H$12=0,0,H26/H$12)</f>
        <v>0</v>
      </c>
      <c r="K26" s="16"/>
      <c r="L26" s="31">
        <f>D26-H26</f>
        <v>0</v>
      </c>
      <c r="M26" s="16"/>
      <c r="N26" s="33">
        <f>IF(H26=0,0,L26/H26)</f>
        <v>0</v>
      </c>
      <c r="O26" s="29"/>
      <c r="P26" s="31">
        <f>+P22-P24</f>
        <v>0</v>
      </c>
      <c r="Q26" s="14"/>
      <c r="R26" s="33">
        <f>IF(P$12=0,0,P26/P$12)</f>
        <v>0</v>
      </c>
      <c r="S26" s="14"/>
      <c r="T26" s="31">
        <f>+T22-T24</f>
        <v>0</v>
      </c>
      <c r="U26" s="14"/>
      <c r="V26" s="33">
        <f>IF(T$12=0,0,T26/T$12)</f>
        <v>0</v>
      </c>
      <c r="W26" s="16"/>
      <c r="X26" s="31">
        <f>P26-T26</f>
        <v>0</v>
      </c>
      <c r="Y26" s="16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--334683.71</f>
        <v>334683.71000000002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319683.71000000002</v>
      </c>
      <c r="M28" s="4"/>
      <c r="N28" s="12">
        <f t="shared" ref="N28:N29" si="4">IF(H28=0,0,L28/H28)</f>
        <v>21.312247333333335</v>
      </c>
      <c r="O28" s="10"/>
      <c r="P28" s="4">
        <f>--2631496.9</f>
        <v>2631496.9</v>
      </c>
      <c r="Q28" s="4"/>
      <c r="R28" s="12">
        <f t="shared" ref="R28:R29" si="5">IF(P$12=0,0,P28/P$12)</f>
        <v>0</v>
      </c>
      <c r="S28" s="4"/>
      <c r="T28" s="4">
        <f t="shared" ref="T28:T29" si="6">--150000</f>
        <v>150000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2481496.9</v>
      </c>
      <c r="Y28" s="4"/>
      <c r="Z28" s="12">
        <f t="shared" ref="Z28:Z29" si="9">IF(T28=0,0,X28/T28)</f>
        <v>16.543312666666665</v>
      </c>
    </row>
    <row r="29" spans="1:26" s="23" customFormat="1" x14ac:dyDescent="0.25">
      <c r="A29" s="52"/>
      <c r="B29" s="10" t="s">
        <v>82</v>
      </c>
      <c r="C29" s="10"/>
      <c r="D29" s="4">
        <f>--10223.34</f>
        <v>10223.34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-4776.66</v>
      </c>
      <c r="M29" s="4"/>
      <c r="N29" s="12">
        <f t="shared" si="4"/>
        <v>-0.318444</v>
      </c>
      <c r="O29" s="10"/>
      <c r="P29" s="4">
        <f>--92759.53</f>
        <v>92759.53</v>
      </c>
      <c r="Q29" s="4"/>
      <c r="R29" s="12">
        <f t="shared" si="5"/>
        <v>0</v>
      </c>
      <c r="S29" s="4"/>
      <c r="T29" s="4">
        <f t="shared" si="6"/>
        <v>150000</v>
      </c>
      <c r="U29" s="4"/>
      <c r="V29" s="12">
        <f t="shared" si="7"/>
        <v>0</v>
      </c>
      <c r="W29" s="4"/>
      <c r="X29" s="4">
        <f t="shared" si="8"/>
        <v>-57240.47</v>
      </c>
      <c r="Y29" s="4"/>
      <c r="Z29" s="12">
        <f t="shared" si="9"/>
        <v>-0.38160313333333334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4">
        <f>SUM(D26:D30)</f>
        <v>344907.05000000005</v>
      </c>
      <c r="E31" s="14"/>
      <c r="F31" s="35">
        <f>IF(D$12=0,0,D31/D$12)</f>
        <v>0</v>
      </c>
      <c r="G31" s="14"/>
      <c r="H31" s="34">
        <f>SUM(H26:H30)</f>
        <v>30000</v>
      </c>
      <c r="I31" s="14"/>
      <c r="J31" s="35">
        <f>IF(H$12=0,0,H31/H$12)</f>
        <v>0</v>
      </c>
      <c r="K31" s="16"/>
      <c r="L31" s="34">
        <f>+D31-H31</f>
        <v>314907.05000000005</v>
      </c>
      <c r="M31" s="16"/>
      <c r="N31" s="35">
        <f>IF(H31=0,0,L31/H31)</f>
        <v>10.496901666666668</v>
      </c>
      <c r="O31" s="29"/>
      <c r="P31" s="34">
        <f>SUM(P26:P30)</f>
        <v>2724256.4299999997</v>
      </c>
      <c r="Q31" s="14"/>
      <c r="R31" s="35">
        <f>IF(P$12=0,0,P31/P$12)</f>
        <v>0</v>
      </c>
      <c r="S31" s="14"/>
      <c r="T31" s="34">
        <f>SUM(T26:T30)</f>
        <v>300000</v>
      </c>
      <c r="U31" s="14"/>
      <c r="V31" s="35">
        <f>IF(T$12=0,0,T31/T$12)</f>
        <v>0</v>
      </c>
      <c r="W31" s="16"/>
      <c r="X31" s="34">
        <f>+P31-T31</f>
        <v>2424256.4299999997</v>
      </c>
      <c r="Y31" s="16"/>
      <c r="Z31" s="35">
        <f>IF(T31=0,0,X31/T31)</f>
        <v>8.0808547666666648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2">
        <v>44330.005817013887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277</v>
      </c>
      <c r="C22" s="28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9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126</v>
      </c>
      <c r="C26" s="28"/>
      <c r="D26" s="31">
        <f>+D22-D24</f>
        <v>0</v>
      </c>
      <c r="E26" s="14"/>
      <c r="F26" s="33">
        <f>IF(D$12=0,0,D26/D$12)</f>
        <v>0</v>
      </c>
      <c r="G26" s="14"/>
      <c r="H26" s="31">
        <f>+H22-H24</f>
        <v>0</v>
      </c>
      <c r="I26" s="14"/>
      <c r="J26" s="33">
        <f>IF(H$12=0,0,H26/H$12)</f>
        <v>0</v>
      </c>
      <c r="K26" s="16"/>
      <c r="L26" s="31">
        <f>D26-H26</f>
        <v>0</v>
      </c>
      <c r="M26" s="16"/>
      <c r="N26" s="33">
        <f>IF(H26=0,0,L26/H26)</f>
        <v>0</v>
      </c>
      <c r="O26" s="29"/>
      <c r="P26" s="31">
        <f>+P22-P24</f>
        <v>0</v>
      </c>
      <c r="Q26" s="14"/>
      <c r="R26" s="33">
        <f>IF(P$12=0,0,P26/P$12)</f>
        <v>0</v>
      </c>
      <c r="S26" s="14"/>
      <c r="T26" s="31">
        <f>+T22-T24</f>
        <v>0</v>
      </c>
      <c r="U26" s="14"/>
      <c r="V26" s="33">
        <f>IF(T$12=0,0,T26/T$12)</f>
        <v>0</v>
      </c>
      <c r="W26" s="16"/>
      <c r="X26" s="31">
        <f>P26-T26</f>
        <v>0</v>
      </c>
      <c r="Y26" s="16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--334683.71</f>
        <v>334683.71000000002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319683.71000000002</v>
      </c>
      <c r="M28" s="4"/>
      <c r="N28" s="12">
        <f t="shared" ref="N28:N29" si="4">IF(H28=0,0,L28/H28)</f>
        <v>21.312247333333335</v>
      </c>
      <c r="O28" s="10"/>
      <c r="P28" s="4">
        <f>--2631496.9</f>
        <v>2631496.9</v>
      </c>
      <c r="Q28" s="4"/>
      <c r="R28" s="12">
        <f t="shared" ref="R28:R29" si="5">IF(P$12=0,0,P28/P$12)</f>
        <v>0</v>
      </c>
      <c r="S28" s="4"/>
      <c r="T28" s="4">
        <f t="shared" ref="T28:T29" si="6">--150000</f>
        <v>150000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2481496.9</v>
      </c>
      <c r="Y28" s="4"/>
      <c r="Z28" s="12">
        <f t="shared" ref="Z28:Z29" si="9">IF(T28=0,0,X28/T28)</f>
        <v>16.543312666666665</v>
      </c>
    </row>
    <row r="29" spans="1:26" s="23" customFormat="1" x14ac:dyDescent="0.25">
      <c r="A29" s="52"/>
      <c r="B29" s="10" t="s">
        <v>82</v>
      </c>
      <c r="C29" s="10"/>
      <c r="D29" s="4">
        <f>--10223.34</f>
        <v>10223.34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-4776.66</v>
      </c>
      <c r="M29" s="4"/>
      <c r="N29" s="12">
        <f t="shared" si="4"/>
        <v>-0.318444</v>
      </c>
      <c r="O29" s="10"/>
      <c r="P29" s="4">
        <f>--92759.53</f>
        <v>92759.53</v>
      </c>
      <c r="Q29" s="4"/>
      <c r="R29" s="12">
        <f t="shared" si="5"/>
        <v>0</v>
      </c>
      <c r="S29" s="4"/>
      <c r="T29" s="4">
        <f t="shared" si="6"/>
        <v>150000</v>
      </c>
      <c r="U29" s="4"/>
      <c r="V29" s="12">
        <f t="shared" si="7"/>
        <v>0</v>
      </c>
      <c r="W29" s="4"/>
      <c r="X29" s="4">
        <f t="shared" si="8"/>
        <v>-57240.47</v>
      </c>
      <c r="Y29" s="4"/>
      <c r="Z29" s="12">
        <f t="shared" si="9"/>
        <v>-0.38160313333333334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4">
        <f>SUM(D26:D30)</f>
        <v>344907.05000000005</v>
      </c>
      <c r="E31" s="14"/>
      <c r="F31" s="35">
        <f>IF(D$12=0,0,D31/D$12)</f>
        <v>0</v>
      </c>
      <c r="G31" s="14"/>
      <c r="H31" s="34">
        <f>SUM(H26:H30)</f>
        <v>30000</v>
      </c>
      <c r="I31" s="14"/>
      <c r="J31" s="35">
        <f>IF(H$12=0,0,H31/H$12)</f>
        <v>0</v>
      </c>
      <c r="K31" s="16"/>
      <c r="L31" s="34">
        <f>+D31-H31</f>
        <v>314907.05000000005</v>
      </c>
      <c r="M31" s="16"/>
      <c r="N31" s="35">
        <f>IF(H31=0,0,L31/H31)</f>
        <v>10.496901666666668</v>
      </c>
      <c r="O31" s="29"/>
      <c r="P31" s="34">
        <f>SUM(P26:P30)</f>
        <v>2724256.4299999997</v>
      </c>
      <c r="Q31" s="14"/>
      <c r="R31" s="35">
        <f>IF(P$12=0,0,P31/P$12)</f>
        <v>0</v>
      </c>
      <c r="S31" s="14"/>
      <c r="T31" s="34">
        <f>SUM(T26:T30)</f>
        <v>300000</v>
      </c>
      <c r="U31" s="14"/>
      <c r="V31" s="35">
        <f>IF(T$12=0,0,T31/T$12)</f>
        <v>0</v>
      </c>
      <c r="W31" s="16"/>
      <c r="X31" s="34">
        <f>+P31-T31</f>
        <v>2424256.4299999997</v>
      </c>
      <c r="Y31" s="16"/>
      <c r="Z31" s="35">
        <f>IF(T31=0,0,X31/T31)</f>
        <v>8.0808547666666648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2">
        <v>44330.0058283912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313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139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D12-D15</f>
        <v>0</v>
      </c>
      <c r="E17" s="14"/>
      <c r="F17" s="20">
        <f>IF(D$12=0,0,D17/D$12)</f>
        <v>0</v>
      </c>
      <c r="G17" s="14"/>
      <c r="H17" s="21">
        <f>H12-H15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9"/>
      <c r="P17" s="21">
        <f>P12-P15</f>
        <v>0</v>
      </c>
      <c r="Q17" s="14"/>
      <c r="R17" s="20">
        <f>IF(P$12=0,0,P17/P$12)</f>
        <v>0</v>
      </c>
      <c r="S17" s="14"/>
      <c r="T17" s="21">
        <f>T12-T15</f>
        <v>0</v>
      </c>
      <c r="U17" s="14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242086.47999999998</v>
      </c>
      <c r="E19" s="22"/>
      <c r="F19" s="32">
        <f t="shared" ref="F19:F31" si="4">IF(D$12=0,0,D19/D$12)</f>
        <v>0</v>
      </c>
      <c r="G19" s="22"/>
      <c r="H19" s="22">
        <f>SUM(OSRRefH22x_0)</f>
        <v>309806.03915769234</v>
      </c>
      <c r="I19" s="22"/>
      <c r="J19" s="32">
        <f t="shared" ref="J19:J31" si="5">IF(H$12=0,0,H19/H$12)</f>
        <v>0</v>
      </c>
      <c r="K19" s="4"/>
      <c r="L19" s="22">
        <f t="shared" ref="L19:L31" si="6">+D19-H19</f>
        <v>-67719.559157692362</v>
      </c>
      <c r="M19" s="4"/>
      <c r="N19" s="32">
        <f t="shared" ref="N19:N31" si="7">IF(H19=0,0,L19/H19)</f>
        <v>-0.21858695634794539</v>
      </c>
      <c r="O19" s="10"/>
      <c r="P19" s="22">
        <f>SUM(OSRRefP22x_0)</f>
        <v>1883636.8299999998</v>
      </c>
      <c r="Q19" s="22"/>
      <c r="R19" s="32">
        <f t="shared" ref="R19:R31" si="8">IF(P$12=0,0,P19/P$12)</f>
        <v>0</v>
      </c>
      <c r="S19" s="22"/>
      <c r="T19" s="22">
        <f>SUM(OSRRefT22x_0)</f>
        <v>2743850.1591446162</v>
      </c>
      <c r="U19" s="22"/>
      <c r="V19" s="32">
        <f t="shared" ref="V19:V31" si="9">IF(T$12=0,0,T19/T$12)</f>
        <v>0</v>
      </c>
      <c r="W19" s="4"/>
      <c r="X19" s="22">
        <f t="shared" ref="X19:X31" si="10">+P19-T19</f>
        <v>-860213.32914461638</v>
      </c>
      <c r="Y19" s="4"/>
      <c r="Z19" s="32">
        <f t="shared" ref="Z19:Z31" si="11">IF(T19=0,0,X19/T19)</f>
        <v>-0.31350594210756183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86861.33</v>
      </c>
      <c r="E20" s="1"/>
      <c r="F20" s="5">
        <f t="shared" si="4"/>
        <v>0</v>
      </c>
      <c r="G20" s="1"/>
      <c r="H20" s="1">
        <f>SUM(OSRRefH22_0x_0)</f>
        <v>84278.269926923036</v>
      </c>
      <c r="I20" s="1"/>
      <c r="J20" s="5">
        <f t="shared" si="5"/>
        <v>0</v>
      </c>
      <c r="K20" s="1"/>
      <c r="L20" s="1">
        <f t="shared" si="6"/>
        <v>2583.0600730769656</v>
      </c>
      <c r="M20" s="1"/>
      <c r="N20" s="5">
        <f t="shared" si="7"/>
        <v>3.0649182467992222E-2</v>
      </c>
      <c r="O20" s="13"/>
      <c r="P20" s="1">
        <f>SUM(OSRRefP22_0x_0)</f>
        <v>426772.31000000011</v>
      </c>
      <c r="Q20" s="1"/>
      <c r="R20" s="5">
        <f t="shared" si="8"/>
        <v>0</v>
      </c>
      <c r="S20" s="1"/>
      <c r="T20" s="1">
        <f>SUM(OSRRefT22_0x_0)</f>
        <v>802632.58991384634</v>
      </c>
      <c r="U20" s="1"/>
      <c r="V20" s="5">
        <f t="shared" si="9"/>
        <v>0</v>
      </c>
      <c r="W20" s="1"/>
      <c r="X20" s="1">
        <f t="shared" si="10"/>
        <v>-375860.27991384623</v>
      </c>
      <c r="Y20" s="1"/>
      <c r="Z20" s="5">
        <f t="shared" si="11"/>
        <v>-0.4682843490745755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10464.51</v>
      </c>
      <c r="E21" s="2"/>
      <c r="F21" s="6">
        <f t="shared" si="4"/>
        <v>0</v>
      </c>
      <c r="G21" s="2"/>
      <c r="H21" s="7">
        <v>8722.8010961538494</v>
      </c>
      <c r="I21" s="2"/>
      <c r="J21" s="6">
        <f t="shared" si="5"/>
        <v>0</v>
      </c>
      <c r="K21" s="2"/>
      <c r="L21" s="7">
        <f t="shared" si="6"/>
        <v>1741.7089038461509</v>
      </c>
      <c r="M21" s="2"/>
      <c r="N21" s="6">
        <f t="shared" si="7"/>
        <v>0.1996731192935402</v>
      </c>
      <c r="O21" s="11"/>
      <c r="P21" s="7">
        <v>79374.69</v>
      </c>
      <c r="Q21" s="2"/>
      <c r="R21" s="6">
        <f t="shared" si="8"/>
        <v>0</v>
      </c>
      <c r="S21" s="2"/>
      <c r="T21" s="7">
        <v>76970.341846153897</v>
      </c>
      <c r="U21" s="2"/>
      <c r="V21" s="6">
        <f t="shared" si="9"/>
        <v>0</v>
      </c>
      <c r="W21" s="2"/>
      <c r="X21" s="7">
        <f t="shared" si="10"/>
        <v>2404.3481538461056</v>
      </c>
      <c r="Y21" s="2"/>
      <c r="Z21" s="6">
        <f t="shared" si="11"/>
        <v>3.1237332408524929E-2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580.21</v>
      </c>
      <c r="E22" s="2"/>
      <c r="F22" s="6">
        <f t="shared" si="4"/>
        <v>0</v>
      </c>
      <c r="G22" s="2"/>
      <c r="H22" s="7">
        <v>759.65289230769201</v>
      </c>
      <c r="I22" s="2"/>
      <c r="J22" s="6">
        <f t="shared" si="5"/>
        <v>0</v>
      </c>
      <c r="K22" s="2"/>
      <c r="L22" s="7">
        <f t="shared" si="6"/>
        <v>-179.44289230769198</v>
      </c>
      <c r="M22" s="2"/>
      <c r="N22" s="6">
        <f t="shared" si="7"/>
        <v>-0.23621695398615017</v>
      </c>
      <c r="O22" s="11"/>
      <c r="P22" s="7">
        <v>6467.13</v>
      </c>
      <c r="Q22" s="2"/>
      <c r="R22" s="6">
        <f t="shared" si="8"/>
        <v>0</v>
      </c>
      <c r="S22" s="2"/>
      <c r="T22" s="7">
        <v>6691.0148123076897</v>
      </c>
      <c r="U22" s="2"/>
      <c r="V22" s="6">
        <f t="shared" si="9"/>
        <v>0</v>
      </c>
      <c r="W22" s="2"/>
      <c r="X22" s="7">
        <f t="shared" si="10"/>
        <v>-223.88481230768957</v>
      </c>
      <c r="Y22" s="2"/>
      <c r="Z22" s="6">
        <f t="shared" si="11"/>
        <v>-3.3460516616383502E-2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22431.15</v>
      </c>
      <c r="E23" s="2"/>
      <c r="F23" s="6">
        <f t="shared" si="4"/>
        <v>0</v>
      </c>
      <c r="G23" s="2"/>
      <c r="H23" s="7">
        <v>21786.1538461538</v>
      </c>
      <c r="I23" s="2"/>
      <c r="J23" s="6">
        <f t="shared" si="5"/>
        <v>0</v>
      </c>
      <c r="K23" s="2"/>
      <c r="L23" s="7">
        <f t="shared" si="6"/>
        <v>644.9961538462012</v>
      </c>
      <c r="M23" s="2"/>
      <c r="N23" s="6">
        <f t="shared" si="7"/>
        <v>2.9605783489868771E-2</v>
      </c>
      <c r="O23" s="11"/>
      <c r="P23" s="7">
        <v>227692.38</v>
      </c>
      <c r="Q23" s="2"/>
      <c r="R23" s="6">
        <f t="shared" si="8"/>
        <v>0</v>
      </c>
      <c r="S23" s="2"/>
      <c r="T23" s="7">
        <v>211670.57692307699</v>
      </c>
      <c r="U23" s="2"/>
      <c r="V23" s="6">
        <f t="shared" si="9"/>
        <v>0</v>
      </c>
      <c r="W23" s="2"/>
      <c r="X23" s="7">
        <f t="shared" si="10"/>
        <v>16021.80307692301</v>
      </c>
      <c r="Y23" s="2"/>
      <c r="Z23" s="6">
        <f t="shared" si="11"/>
        <v>7.5692159533091261E-2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238.05</v>
      </c>
      <c r="E24" s="2"/>
      <c r="F24" s="6">
        <f t="shared" si="4"/>
        <v>0</v>
      </c>
      <c r="G24" s="2"/>
      <c r="H24" s="7">
        <v>329.15440000000001</v>
      </c>
      <c r="I24" s="2"/>
      <c r="J24" s="6">
        <f t="shared" si="5"/>
        <v>0</v>
      </c>
      <c r="K24" s="2"/>
      <c r="L24" s="7">
        <f t="shared" si="6"/>
        <v>-91.104399999999998</v>
      </c>
      <c r="M24" s="2"/>
      <c r="N24" s="6">
        <f t="shared" si="7"/>
        <v>-0.27678317531225466</v>
      </c>
      <c r="O24" s="11"/>
      <c r="P24" s="7">
        <v>2779.87</v>
      </c>
      <c r="Q24" s="2"/>
      <c r="R24" s="6">
        <f t="shared" si="8"/>
        <v>0</v>
      </c>
      <c r="S24" s="2"/>
      <c r="T24" s="7">
        <v>2894.7886400000002</v>
      </c>
      <c r="U24" s="2"/>
      <c r="V24" s="6">
        <f t="shared" si="9"/>
        <v>0</v>
      </c>
      <c r="W24" s="2"/>
      <c r="X24" s="7">
        <f t="shared" si="10"/>
        <v>-114.91864000000032</v>
      </c>
      <c r="Y24" s="2"/>
      <c r="Z24" s="6">
        <f t="shared" si="11"/>
        <v>-3.9698456188497516E-2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7812.41</v>
      </c>
      <c r="E25" s="2"/>
      <c r="F25" s="6">
        <f t="shared" si="4"/>
        <v>0</v>
      </c>
      <c r="G25" s="2"/>
      <c r="H25" s="7">
        <v>7269.4807692307804</v>
      </c>
      <c r="I25" s="2"/>
      <c r="J25" s="6">
        <f t="shared" si="5"/>
        <v>0</v>
      </c>
      <c r="K25" s="2"/>
      <c r="L25" s="7">
        <f t="shared" si="6"/>
        <v>542.92923076921943</v>
      </c>
      <c r="M25" s="2"/>
      <c r="N25" s="6">
        <f t="shared" si="7"/>
        <v>7.4686108678800378E-2</v>
      </c>
      <c r="O25" s="11"/>
      <c r="P25" s="7">
        <v>90187.97</v>
      </c>
      <c r="Q25" s="2"/>
      <c r="R25" s="6">
        <f t="shared" si="8"/>
        <v>0</v>
      </c>
      <c r="S25" s="2"/>
      <c r="T25" s="7">
        <v>63971.430769230799</v>
      </c>
      <c r="U25" s="2"/>
      <c r="V25" s="6">
        <f t="shared" si="9"/>
        <v>0</v>
      </c>
      <c r="W25" s="2"/>
      <c r="X25" s="7">
        <f t="shared" si="10"/>
        <v>26216.539230769202</v>
      </c>
      <c r="Y25" s="2"/>
      <c r="Z25" s="6">
        <f t="shared" si="11"/>
        <v>0.40981636514184272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-300</v>
      </c>
      <c r="M26" s="2"/>
      <c r="N26" s="6">
        <f t="shared" si="7"/>
        <v>-1</v>
      </c>
      <c r="O26" s="11"/>
      <c r="P26" s="7"/>
      <c r="Q26" s="2"/>
      <c r="R26" s="6">
        <f t="shared" si="8"/>
        <v>0</v>
      </c>
      <c r="S26" s="2"/>
      <c r="T26" s="7">
        <v>3000</v>
      </c>
      <c r="U26" s="2"/>
      <c r="V26" s="6">
        <f t="shared" si="9"/>
        <v>0</v>
      </c>
      <c r="W26" s="2"/>
      <c r="X26" s="7">
        <f t="shared" si="10"/>
        <v>-3000</v>
      </c>
      <c r="Y26" s="2"/>
      <c r="Z26" s="6">
        <f t="shared" si="11"/>
        <v>-1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491.79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491.79</v>
      </c>
      <c r="M27" s="2"/>
      <c r="N27" s="6">
        <f t="shared" si="7"/>
        <v>0</v>
      </c>
      <c r="O27" s="11"/>
      <c r="P27" s="7">
        <v>7043.78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7043.78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10001.43</v>
      </c>
      <c r="E28" s="2"/>
      <c r="F28" s="6">
        <f t="shared" si="4"/>
        <v>0</v>
      </c>
      <c r="G28" s="2"/>
      <c r="H28" s="7">
        <v>5891.4423076923104</v>
      </c>
      <c r="I28" s="2"/>
      <c r="J28" s="6">
        <f t="shared" si="5"/>
        <v>0</v>
      </c>
      <c r="K28" s="2"/>
      <c r="L28" s="7">
        <f t="shared" si="6"/>
        <v>4109.9876923076899</v>
      </c>
      <c r="M28" s="2"/>
      <c r="N28" s="6">
        <f t="shared" si="7"/>
        <v>0.69761995071077598</v>
      </c>
      <c r="O28" s="11"/>
      <c r="P28" s="7">
        <v>66963.960000000006</v>
      </c>
      <c r="Q28" s="2"/>
      <c r="R28" s="6">
        <f t="shared" si="8"/>
        <v>0</v>
      </c>
      <c r="S28" s="2"/>
      <c r="T28" s="7">
        <v>51778.692307692298</v>
      </c>
      <c r="U28" s="2"/>
      <c r="V28" s="6">
        <f t="shared" si="9"/>
        <v>0</v>
      </c>
      <c r="W28" s="2"/>
      <c r="X28" s="7">
        <f t="shared" si="10"/>
        <v>15185.267692307709</v>
      </c>
      <c r="Y28" s="2"/>
      <c r="Z28" s="6">
        <f t="shared" si="11"/>
        <v>0.29327252225819095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6005.28</v>
      </c>
      <c r="E29" s="2"/>
      <c r="F29" s="6">
        <f t="shared" si="4"/>
        <v>0</v>
      </c>
      <c r="G29" s="2"/>
      <c r="H29" s="7">
        <v>4869.5846153846096</v>
      </c>
      <c r="I29" s="2"/>
      <c r="J29" s="6">
        <f t="shared" si="5"/>
        <v>0</v>
      </c>
      <c r="K29" s="2"/>
      <c r="L29" s="7">
        <f t="shared" si="6"/>
        <v>1135.6953846153901</v>
      </c>
      <c r="M29" s="2"/>
      <c r="N29" s="6">
        <f t="shared" si="7"/>
        <v>0.23322223029606204</v>
      </c>
      <c r="O29" s="11"/>
      <c r="P29" s="7">
        <v>44924.32</v>
      </c>
      <c r="Q29" s="2"/>
      <c r="R29" s="6">
        <f t="shared" si="8"/>
        <v>0</v>
      </c>
      <c r="S29" s="2"/>
      <c r="T29" s="7">
        <v>42710.744615384603</v>
      </c>
      <c r="U29" s="2"/>
      <c r="V29" s="6">
        <f t="shared" si="9"/>
        <v>0</v>
      </c>
      <c r="W29" s="2"/>
      <c r="X29" s="7">
        <f t="shared" si="10"/>
        <v>2213.5753846153966</v>
      </c>
      <c r="Y29" s="2"/>
      <c r="Z29" s="6">
        <f t="shared" si="11"/>
        <v>5.1827131663212837E-2</v>
      </c>
    </row>
    <row r="30" spans="1:26" s="24" customFormat="1" hidden="1" outlineLevel="2" x14ac:dyDescent="0.25">
      <c r="A30" s="26"/>
      <c r="B30" s="11" t="str">
        <f>CONCATENATE("          ", "6120", " - ", "RETIREES HEALTH INSURANCE")</f>
        <v xml:space="preserve">          6120 - RETIREES HEALTH INSURANCE</v>
      </c>
      <c r="C30" s="11"/>
      <c r="D30" s="7">
        <v>28198.66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-3801.34</v>
      </c>
      <c r="M30" s="2"/>
      <c r="N30" s="6">
        <f t="shared" si="7"/>
        <v>-0.11879187500000001</v>
      </c>
      <c r="O30" s="11"/>
      <c r="P30" s="7">
        <v>-104818.56</v>
      </c>
      <c r="Q30" s="2"/>
      <c r="R30" s="6">
        <f t="shared" si="8"/>
        <v>0</v>
      </c>
      <c r="S30" s="2"/>
      <c r="T30" s="7">
        <v>320000</v>
      </c>
      <c r="U30" s="2"/>
      <c r="V30" s="6">
        <f t="shared" si="9"/>
        <v>0</v>
      </c>
      <c r="W30" s="2"/>
      <c r="X30" s="7">
        <f t="shared" si="10"/>
        <v>-424818.56</v>
      </c>
      <c r="Y30" s="2"/>
      <c r="Z30" s="6">
        <f t="shared" si="11"/>
        <v>-1.327558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637.84</v>
      </c>
      <c r="E31" s="2"/>
      <c r="F31" s="6">
        <f t="shared" si="4"/>
        <v>0</v>
      </c>
      <c r="G31" s="2"/>
      <c r="H31" s="7">
        <v>2350</v>
      </c>
      <c r="I31" s="2"/>
      <c r="J31" s="6">
        <f t="shared" si="5"/>
        <v>0</v>
      </c>
      <c r="K31" s="2"/>
      <c r="L31" s="7">
        <f t="shared" si="6"/>
        <v>-1712.1599999999999</v>
      </c>
      <c r="M31" s="2"/>
      <c r="N31" s="6">
        <f t="shared" si="7"/>
        <v>-0.72857872340425522</v>
      </c>
      <c r="O31" s="11"/>
      <c r="P31" s="7">
        <v>6156.77</v>
      </c>
      <c r="Q31" s="2"/>
      <c r="R31" s="6">
        <f t="shared" si="8"/>
        <v>0</v>
      </c>
      <c r="S31" s="2"/>
      <c r="T31" s="7">
        <v>22945</v>
      </c>
      <c r="U31" s="2"/>
      <c r="V31" s="6">
        <f t="shared" si="9"/>
        <v>0</v>
      </c>
      <c r="W31" s="2"/>
      <c r="X31" s="7">
        <f t="shared" si="10"/>
        <v>-16788.23</v>
      </c>
      <c r="Y31" s="2"/>
      <c r="Z31" s="6">
        <f t="shared" si="11"/>
        <v>-0.73167269557637826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97785.8</v>
      </c>
      <c r="E32" s="1"/>
      <c r="F32" s="5">
        <f t="shared" ref="F32:F42" si="12">IF(D$12=0,0,D32/D$12)</f>
        <v>0</v>
      </c>
      <c r="G32" s="1"/>
      <c r="H32" s="1">
        <f>SUM(OSRRefH22_1x_0)</f>
        <v>116447.76923076931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-18661.969230769304</v>
      </c>
      <c r="M32" s="1"/>
      <c r="N32" s="5">
        <f t="shared" ref="N32:N42" si="15">IF(H32=0,0,L32/H32)</f>
        <v>-0.16026042709144661</v>
      </c>
      <c r="O32" s="13"/>
      <c r="P32" s="1">
        <f>SUM(OSRRefP22_1x_0)</f>
        <v>934029.22</v>
      </c>
      <c r="Q32" s="1"/>
      <c r="R32" s="5">
        <f t="shared" ref="R32:R42" si="16">IF(P$12=0,0,P32/P$12)</f>
        <v>0</v>
      </c>
      <c r="S32" s="1"/>
      <c r="T32" s="1">
        <f>SUM(OSRRefT22_1x_0)</f>
        <v>1024191.56923077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-90162.349230770022</v>
      </c>
      <c r="Y32" s="1"/>
      <c r="Z32" s="5">
        <f t="shared" ref="Z32:Z42" si="19">IF(T32=0,0,X32/T32)</f>
        <v>-8.8032700072397024E-2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>
        <v>25516.62</v>
      </c>
      <c r="E33" s="2"/>
      <c r="F33" s="6">
        <f t="shared" si="12"/>
        <v>0</v>
      </c>
      <c r="G33" s="2"/>
      <c r="H33" s="7">
        <v>34110.5769230769</v>
      </c>
      <c r="I33" s="2"/>
      <c r="J33" s="6">
        <f t="shared" si="13"/>
        <v>0</v>
      </c>
      <c r="K33" s="2"/>
      <c r="L33" s="7">
        <f t="shared" si="14"/>
        <v>-8593.9569230769011</v>
      </c>
      <c r="M33" s="2"/>
      <c r="N33" s="6">
        <f t="shared" si="15"/>
        <v>-0.25194405073995724</v>
      </c>
      <c r="O33" s="11"/>
      <c r="P33" s="7">
        <v>250457.85</v>
      </c>
      <c r="Q33" s="2"/>
      <c r="R33" s="6">
        <f t="shared" si="16"/>
        <v>0</v>
      </c>
      <c r="S33" s="2"/>
      <c r="T33" s="7">
        <v>300173.07692307699</v>
      </c>
      <c r="U33" s="2"/>
      <c r="V33" s="6">
        <f t="shared" si="17"/>
        <v>0</v>
      </c>
      <c r="W33" s="2"/>
      <c r="X33" s="7">
        <f t="shared" si="18"/>
        <v>-49715.226923076989</v>
      </c>
      <c r="Y33" s="2"/>
      <c r="Z33" s="6">
        <f t="shared" si="19"/>
        <v>-0.16562187199692502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>
        <v>51331.73</v>
      </c>
      <c r="E34" s="2"/>
      <c r="F34" s="6">
        <f t="shared" si="12"/>
        <v>0</v>
      </c>
      <c r="G34" s="2"/>
      <c r="H34" s="7">
        <v>42682.692307692399</v>
      </c>
      <c r="I34" s="2"/>
      <c r="J34" s="6">
        <f t="shared" si="13"/>
        <v>0</v>
      </c>
      <c r="K34" s="2"/>
      <c r="L34" s="7">
        <f t="shared" si="14"/>
        <v>8649.0376923076037</v>
      </c>
      <c r="M34" s="2"/>
      <c r="N34" s="6">
        <f t="shared" si="15"/>
        <v>0.20263571074566092</v>
      </c>
      <c r="O34" s="11"/>
      <c r="P34" s="7">
        <v>488407.94</v>
      </c>
      <c r="Q34" s="2"/>
      <c r="R34" s="6">
        <f t="shared" si="16"/>
        <v>0</v>
      </c>
      <c r="S34" s="2"/>
      <c r="T34" s="7">
        <v>375607.69230769301</v>
      </c>
      <c r="U34" s="2"/>
      <c r="V34" s="6">
        <f t="shared" si="17"/>
        <v>0</v>
      </c>
      <c r="W34" s="2"/>
      <c r="X34" s="7">
        <f t="shared" si="18"/>
        <v>112800.24769230699</v>
      </c>
      <c r="Y34" s="2"/>
      <c r="Z34" s="6">
        <f t="shared" si="19"/>
        <v>0.30031399782915646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18975.900000000001</v>
      </c>
      <c r="E36" s="2"/>
      <c r="F36" s="6">
        <f t="shared" si="12"/>
        <v>0</v>
      </c>
      <c r="G36" s="2"/>
      <c r="H36" s="7">
        <v>25680.5</v>
      </c>
      <c r="I36" s="2"/>
      <c r="J36" s="6">
        <f t="shared" si="13"/>
        <v>0</v>
      </c>
      <c r="K36" s="2"/>
      <c r="L36" s="7">
        <f t="shared" si="14"/>
        <v>-6704.5999999999985</v>
      </c>
      <c r="M36" s="2"/>
      <c r="N36" s="6">
        <f t="shared" si="15"/>
        <v>-0.26107747123303671</v>
      </c>
      <c r="O36" s="11"/>
      <c r="P36" s="7">
        <v>173200.71</v>
      </c>
      <c r="Q36" s="2"/>
      <c r="R36" s="6">
        <f t="shared" si="16"/>
        <v>0</v>
      </c>
      <c r="S36" s="2"/>
      <c r="T36" s="7">
        <v>229800.4</v>
      </c>
      <c r="U36" s="2"/>
      <c r="V36" s="6">
        <f t="shared" si="17"/>
        <v>0</v>
      </c>
      <c r="W36" s="2"/>
      <c r="X36" s="7">
        <f t="shared" si="18"/>
        <v>-56599.69</v>
      </c>
      <c r="Y36" s="2"/>
      <c r="Z36" s="6">
        <f t="shared" si="19"/>
        <v>-0.24629935369999359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5393.21</v>
      </c>
      <c r="E37" s="2"/>
      <c r="F37" s="6">
        <f t="shared" si="12"/>
        <v>0</v>
      </c>
      <c r="G37" s="2"/>
      <c r="H37" s="7">
        <v>9715</v>
      </c>
      <c r="I37" s="2"/>
      <c r="J37" s="6">
        <f t="shared" si="13"/>
        <v>0</v>
      </c>
      <c r="K37" s="2"/>
      <c r="L37" s="7">
        <f t="shared" si="14"/>
        <v>-4321.79</v>
      </c>
      <c r="M37" s="2"/>
      <c r="N37" s="6">
        <f t="shared" si="15"/>
        <v>-0.44485743695316521</v>
      </c>
      <c r="O37" s="11"/>
      <c r="P37" s="7">
        <v>53333.88</v>
      </c>
      <c r="Q37" s="2"/>
      <c r="R37" s="6">
        <f t="shared" si="16"/>
        <v>0</v>
      </c>
      <c r="S37" s="2"/>
      <c r="T37" s="7">
        <v>85492</v>
      </c>
      <c r="U37" s="2"/>
      <c r="V37" s="6">
        <f t="shared" si="17"/>
        <v>0</v>
      </c>
      <c r="W37" s="2"/>
      <c r="X37" s="7">
        <f t="shared" si="18"/>
        <v>-32158.120000000003</v>
      </c>
      <c r="Y37" s="2"/>
      <c r="Z37" s="6">
        <f t="shared" si="19"/>
        <v>-0.37615355822767044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>
        <v>-4987</v>
      </c>
      <c r="E39" s="2"/>
      <c r="F39" s="6">
        <f t="shared" si="12"/>
        <v>0</v>
      </c>
      <c r="G39" s="2"/>
      <c r="H39" s="7">
        <v>1400</v>
      </c>
      <c r="I39" s="2"/>
      <c r="J39" s="6">
        <f t="shared" si="13"/>
        <v>0</v>
      </c>
      <c r="K39" s="2"/>
      <c r="L39" s="7">
        <f t="shared" si="14"/>
        <v>-6387</v>
      </c>
      <c r="M39" s="2"/>
      <c r="N39" s="6">
        <f t="shared" si="15"/>
        <v>-4.5621428571428568</v>
      </c>
      <c r="O39" s="11"/>
      <c r="P39" s="7">
        <v>-44841.01</v>
      </c>
      <c r="Q39" s="2"/>
      <c r="R39" s="6">
        <f t="shared" si="16"/>
        <v>0</v>
      </c>
      <c r="S39" s="2"/>
      <c r="T39" s="7">
        <v>11299</v>
      </c>
      <c r="U39" s="2"/>
      <c r="V39" s="6">
        <f t="shared" si="17"/>
        <v>0</v>
      </c>
      <c r="W39" s="2"/>
      <c r="X39" s="7">
        <f t="shared" si="18"/>
        <v>-56140.01</v>
      </c>
      <c r="Y39" s="2"/>
      <c r="Z39" s="6">
        <f t="shared" si="19"/>
        <v>-4.9685821754137534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1555.34</v>
      </c>
      <c r="E40" s="2"/>
      <c r="F40" s="6">
        <f t="shared" si="12"/>
        <v>0</v>
      </c>
      <c r="G40" s="2"/>
      <c r="H40" s="7">
        <v>2859</v>
      </c>
      <c r="I40" s="2"/>
      <c r="J40" s="6">
        <f t="shared" si="13"/>
        <v>0</v>
      </c>
      <c r="K40" s="2"/>
      <c r="L40" s="7">
        <f t="shared" si="14"/>
        <v>-1303.6600000000001</v>
      </c>
      <c r="M40" s="2"/>
      <c r="N40" s="6">
        <f t="shared" si="15"/>
        <v>-0.45598461000349777</v>
      </c>
      <c r="O40" s="11"/>
      <c r="P40" s="7">
        <v>13469.85</v>
      </c>
      <c r="Q40" s="2"/>
      <c r="R40" s="6">
        <f t="shared" si="16"/>
        <v>0</v>
      </c>
      <c r="S40" s="2"/>
      <c r="T40" s="7">
        <v>21819.4</v>
      </c>
      <c r="U40" s="2"/>
      <c r="V40" s="6">
        <f t="shared" si="17"/>
        <v>0</v>
      </c>
      <c r="W40" s="2"/>
      <c r="X40" s="7">
        <f t="shared" si="18"/>
        <v>-8349.5500000000011</v>
      </c>
      <c r="Y40" s="2"/>
      <c r="Z40" s="6">
        <f t="shared" si="19"/>
        <v>-0.38266634279586059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106.3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-8976.7000000000007</v>
      </c>
      <c r="M43" s="1"/>
      <c r="N43" s="5">
        <f t="shared" ref="N43:N51" si="23">IF(H43=0,0,L43/H43)</f>
        <v>-0.98829681823186177</v>
      </c>
      <c r="O43" s="13"/>
      <c r="P43" s="1">
        <f>SUM(OSRRefP22_2x_0)</f>
        <v>1731.99</v>
      </c>
      <c r="Q43" s="1"/>
      <c r="R43" s="5">
        <f t="shared" ref="R43:R51" si="24">IF(P$12=0,0,P43/P$12)</f>
        <v>0</v>
      </c>
      <c r="S43" s="1"/>
      <c r="T43" s="1">
        <f>SUM(OSRRefT22_2x_0)</f>
        <v>90930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-89198.01</v>
      </c>
      <c r="Y43" s="1"/>
      <c r="Z43" s="5">
        <f t="shared" ref="Z43:Z51" si="27">IF(T43=0,0,X43/T43)</f>
        <v>-0.9809524909270867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>
        <v>106.3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-8976.7000000000007</v>
      </c>
      <c r="M44" s="2"/>
      <c r="N44" s="6">
        <f t="shared" si="23"/>
        <v>-0.98829681823186177</v>
      </c>
      <c r="O44" s="11"/>
      <c r="P44" s="7">
        <v>1731.99</v>
      </c>
      <c r="Q44" s="2"/>
      <c r="R44" s="6">
        <f t="shared" si="24"/>
        <v>0</v>
      </c>
      <c r="S44" s="2"/>
      <c r="T44" s="7">
        <v>90930</v>
      </c>
      <c r="U44" s="2"/>
      <c r="V44" s="6">
        <f t="shared" si="25"/>
        <v>0</v>
      </c>
      <c r="W44" s="2"/>
      <c r="X44" s="7">
        <f t="shared" si="26"/>
        <v>-89198.01</v>
      </c>
      <c r="Y44" s="2"/>
      <c r="Z44" s="6">
        <f t="shared" si="27"/>
        <v>-0.9809524909270867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1863.53</v>
      </c>
      <c r="E45" s="1"/>
      <c r="F45" s="5">
        <f t="shared" si="20"/>
        <v>0</v>
      </c>
      <c r="G45" s="1"/>
      <c r="H45" s="1">
        <f>SUM(OSRRefH22_3x_0)</f>
        <v>15000</v>
      </c>
      <c r="I45" s="1"/>
      <c r="J45" s="5">
        <f t="shared" si="21"/>
        <v>0</v>
      </c>
      <c r="K45" s="1"/>
      <c r="L45" s="1">
        <f t="shared" si="22"/>
        <v>-13136.47</v>
      </c>
      <c r="M45" s="1"/>
      <c r="N45" s="5">
        <f t="shared" si="23"/>
        <v>-0.87576466666666664</v>
      </c>
      <c r="O45" s="13"/>
      <c r="P45" s="1">
        <f>SUM(OSRRefP22_3x_0)</f>
        <v>6989.07</v>
      </c>
      <c r="Q45" s="1"/>
      <c r="R45" s="5">
        <f t="shared" si="24"/>
        <v>0</v>
      </c>
      <c r="S45" s="1"/>
      <c r="T45" s="1">
        <f>SUM(OSRRefT22_3x_0)</f>
        <v>69000</v>
      </c>
      <c r="U45" s="1"/>
      <c r="V45" s="5">
        <f t="shared" si="25"/>
        <v>0</v>
      </c>
      <c r="W45" s="1"/>
      <c r="X45" s="1">
        <f t="shared" si="26"/>
        <v>-62010.93</v>
      </c>
      <c r="Y45" s="1"/>
      <c r="Z45" s="5">
        <f t="shared" si="27"/>
        <v>-0.89870913043478262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1863.53</v>
      </c>
      <c r="E46" s="2"/>
      <c r="F46" s="6">
        <f t="shared" si="20"/>
        <v>0</v>
      </c>
      <c r="G46" s="2"/>
      <c r="H46" s="7">
        <v>15000</v>
      </c>
      <c r="I46" s="2"/>
      <c r="J46" s="6">
        <f t="shared" si="21"/>
        <v>0</v>
      </c>
      <c r="K46" s="2"/>
      <c r="L46" s="7">
        <f t="shared" si="22"/>
        <v>-13136.47</v>
      </c>
      <c r="M46" s="2"/>
      <c r="N46" s="6">
        <f t="shared" si="23"/>
        <v>-0.87576466666666664</v>
      </c>
      <c r="O46" s="11"/>
      <c r="P46" s="7">
        <v>6989.07</v>
      </c>
      <c r="Q46" s="2"/>
      <c r="R46" s="6">
        <f t="shared" si="24"/>
        <v>0</v>
      </c>
      <c r="S46" s="2"/>
      <c r="T46" s="7">
        <v>69000</v>
      </c>
      <c r="U46" s="2"/>
      <c r="V46" s="6">
        <f t="shared" si="25"/>
        <v>0</v>
      </c>
      <c r="W46" s="2"/>
      <c r="X46" s="7">
        <f t="shared" si="26"/>
        <v>-62010.93</v>
      </c>
      <c r="Y46" s="2"/>
      <c r="Z46" s="6">
        <f t="shared" si="27"/>
        <v>-0.89870913043478262</v>
      </c>
    </row>
    <row r="47" spans="1:26" s="25" customFormat="1" outlineLevel="1" collapsed="1" x14ac:dyDescent="0.25">
      <c r="A47" s="27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2323.75</v>
      </c>
      <c r="E47" s="1"/>
      <c r="F47" s="5">
        <f t="shared" si="20"/>
        <v>0</v>
      </c>
      <c r="G47" s="1"/>
      <c r="H47" s="1">
        <f>SUM(OSRRefH22_4x_0)</f>
        <v>2437</v>
      </c>
      <c r="I47" s="1"/>
      <c r="J47" s="5">
        <f t="shared" si="21"/>
        <v>0</v>
      </c>
      <c r="K47" s="1"/>
      <c r="L47" s="1">
        <f t="shared" si="22"/>
        <v>-113.25</v>
      </c>
      <c r="M47" s="1"/>
      <c r="N47" s="5">
        <f t="shared" si="23"/>
        <v>-4.6471070988920803E-2</v>
      </c>
      <c r="O47" s="13"/>
      <c r="P47" s="1">
        <f>SUM(OSRRefP22_4x_0)</f>
        <v>13155.91</v>
      </c>
      <c r="Q47" s="1"/>
      <c r="R47" s="5">
        <f t="shared" si="24"/>
        <v>0</v>
      </c>
      <c r="S47" s="1"/>
      <c r="T47" s="1">
        <f>SUM(OSRRefT22_4x_0)</f>
        <v>41270</v>
      </c>
      <c r="U47" s="1"/>
      <c r="V47" s="5">
        <f t="shared" si="25"/>
        <v>0</v>
      </c>
      <c r="W47" s="1"/>
      <c r="X47" s="1">
        <f t="shared" si="26"/>
        <v>-28114.09</v>
      </c>
      <c r="Y47" s="1"/>
      <c r="Z47" s="5">
        <f t="shared" si="27"/>
        <v>-0.6812234068330506</v>
      </c>
    </row>
    <row r="48" spans="1:26" s="24" customFormat="1" hidden="1" outlineLevel="2" x14ac:dyDescent="0.25">
      <c r="A48" s="26"/>
      <c r="B48" s="11" t="str">
        <f>CONCATENATE("          ", "6397", " - ", "BOARD EXPENSES")</f>
        <v xml:space="preserve">          6397 - BOARD EXPENSES</v>
      </c>
      <c r="C48" s="11"/>
      <c r="D48" s="7">
        <v>2323.75</v>
      </c>
      <c r="E48" s="2"/>
      <c r="F48" s="6">
        <f t="shared" si="20"/>
        <v>0</v>
      </c>
      <c r="G48" s="2"/>
      <c r="H48" s="7">
        <v>2437</v>
      </c>
      <c r="I48" s="2"/>
      <c r="J48" s="6">
        <f t="shared" si="21"/>
        <v>0</v>
      </c>
      <c r="K48" s="2"/>
      <c r="L48" s="7">
        <f t="shared" si="22"/>
        <v>-113.25</v>
      </c>
      <c r="M48" s="2"/>
      <c r="N48" s="6">
        <f t="shared" si="23"/>
        <v>-4.6471070988920803E-2</v>
      </c>
      <c r="O48" s="11"/>
      <c r="P48" s="7">
        <v>13155.91</v>
      </c>
      <c r="Q48" s="2"/>
      <c r="R48" s="6">
        <f t="shared" si="24"/>
        <v>0</v>
      </c>
      <c r="S48" s="2"/>
      <c r="T48" s="7">
        <v>41270</v>
      </c>
      <c r="U48" s="2"/>
      <c r="V48" s="6">
        <f t="shared" si="25"/>
        <v>0</v>
      </c>
      <c r="W48" s="2"/>
      <c r="X48" s="7">
        <f t="shared" si="26"/>
        <v>-28114.09</v>
      </c>
      <c r="Y48" s="2"/>
      <c r="Z48" s="6">
        <f t="shared" si="27"/>
        <v>-0.6812234068330506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6867.76</v>
      </c>
      <c r="E49" s="1"/>
      <c r="F49" s="5">
        <f t="shared" si="20"/>
        <v>0</v>
      </c>
      <c r="G49" s="1"/>
      <c r="H49" s="1">
        <f>SUM(OSRRefH22_5x_0)</f>
        <v>6868</v>
      </c>
      <c r="I49" s="1"/>
      <c r="J49" s="5">
        <f t="shared" si="21"/>
        <v>0</v>
      </c>
      <c r="K49" s="1"/>
      <c r="L49" s="1">
        <f t="shared" si="22"/>
        <v>-0.23999999999978172</v>
      </c>
      <c r="M49" s="1"/>
      <c r="N49" s="5">
        <f t="shared" si="23"/>
        <v>-3.4944670937650222E-5</v>
      </c>
      <c r="O49" s="13"/>
      <c r="P49" s="1">
        <f>SUM(OSRRefP22_5x_0)</f>
        <v>72147.240000000005</v>
      </c>
      <c r="Q49" s="1"/>
      <c r="R49" s="5">
        <f t="shared" si="24"/>
        <v>0</v>
      </c>
      <c r="S49" s="1"/>
      <c r="T49" s="1">
        <f>SUM(OSRRefT22_5x_0)</f>
        <v>66885</v>
      </c>
      <c r="U49" s="1"/>
      <c r="V49" s="5">
        <f t="shared" si="25"/>
        <v>0</v>
      </c>
      <c r="W49" s="1"/>
      <c r="X49" s="1">
        <f t="shared" si="26"/>
        <v>5262.2400000000052</v>
      </c>
      <c r="Y49" s="1"/>
      <c r="Z49" s="5">
        <f t="shared" si="27"/>
        <v>7.8675936308589448E-2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6867.76</v>
      </c>
      <c r="E50" s="2"/>
      <c r="F50" s="6">
        <f t="shared" si="20"/>
        <v>0</v>
      </c>
      <c r="G50" s="2"/>
      <c r="H50" s="7">
        <v>6868</v>
      </c>
      <c r="I50" s="2"/>
      <c r="J50" s="6">
        <f t="shared" si="21"/>
        <v>0</v>
      </c>
      <c r="K50" s="2"/>
      <c r="L50" s="7">
        <f t="shared" si="22"/>
        <v>-0.23999999999978172</v>
      </c>
      <c r="M50" s="2"/>
      <c r="N50" s="6">
        <f t="shared" si="23"/>
        <v>-3.4944670937650222E-5</v>
      </c>
      <c r="O50" s="11"/>
      <c r="P50" s="7">
        <v>72147.240000000005</v>
      </c>
      <c r="Q50" s="2"/>
      <c r="R50" s="6">
        <f t="shared" si="24"/>
        <v>0</v>
      </c>
      <c r="S50" s="2"/>
      <c r="T50" s="7">
        <v>66785</v>
      </c>
      <c r="U50" s="2"/>
      <c r="V50" s="6">
        <f t="shared" si="25"/>
        <v>0</v>
      </c>
      <c r="W50" s="2"/>
      <c r="X50" s="7">
        <f t="shared" si="26"/>
        <v>5362.2400000000052</v>
      </c>
      <c r="Y50" s="2"/>
      <c r="Z50" s="6">
        <f t="shared" si="27"/>
        <v>8.029108332709449E-2</v>
      </c>
    </row>
    <row r="51" spans="1:26" s="24" customFormat="1" hidden="1" outlineLevel="2" x14ac:dyDescent="0.25">
      <c r="A51" s="26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5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1500</v>
      </c>
      <c r="E52" s="1"/>
      <c r="F52" s="5">
        <f t="shared" ref="F52:F54" si="28">IF(D$12=0,0,D52/D$12)</f>
        <v>0</v>
      </c>
      <c r="G52" s="1"/>
      <c r="H52" s="1">
        <f>SUM(OSRRefH22_6x_0)</f>
        <v>1000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500</v>
      </c>
      <c r="M52" s="1"/>
      <c r="N52" s="5">
        <f t="shared" ref="N52:N54" si="31">IF(H52=0,0,L52/H52)</f>
        <v>0.5</v>
      </c>
      <c r="O52" s="13"/>
      <c r="P52" s="1">
        <f>SUM(OSRRefP22_6x_0)</f>
        <v>26500</v>
      </c>
      <c r="Q52" s="1"/>
      <c r="R52" s="5">
        <f t="shared" ref="R52:R54" si="32">IF(P$12=0,0,P52/P$12)</f>
        <v>0</v>
      </c>
      <c r="S52" s="1"/>
      <c r="T52" s="1">
        <f>SUM(OSRRefT22_6x_0)</f>
        <v>44750</v>
      </c>
      <c r="U52" s="1"/>
      <c r="V52" s="5">
        <f t="shared" ref="V52:V54" si="33">IF(T$12=0,0,T52/T$12)</f>
        <v>0</v>
      </c>
      <c r="W52" s="1"/>
      <c r="X52" s="1">
        <f t="shared" ref="X52:X54" si="34">+P52-T52</f>
        <v>-18250</v>
      </c>
      <c r="Y52" s="1"/>
      <c r="Z52" s="5">
        <f t="shared" ref="Z52:Z54" si="35">IF(T52=0,0,X52/T52)</f>
        <v>-0.40782122905027934</v>
      </c>
    </row>
    <row r="53" spans="1:26" s="24" customFormat="1" hidden="1" outlineLevel="2" x14ac:dyDescent="0.25">
      <c r="A53" s="26"/>
      <c r="B53" s="11" t="str">
        <f>CONCATENATE("          ", "6395", " - ", "DONATION-OFF CAMPUS")</f>
        <v xml:space="preserve">          6395 - DONATION-OFF CAMPUS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/>
      <c r="Q53" s="2"/>
      <c r="R53" s="6">
        <f t="shared" si="32"/>
        <v>0</v>
      </c>
      <c r="S53" s="2"/>
      <c r="T53" s="7">
        <v>1500</v>
      </c>
      <c r="U53" s="2"/>
      <c r="V53" s="6">
        <f t="shared" si="33"/>
        <v>0</v>
      </c>
      <c r="W53" s="2"/>
      <c r="X53" s="7">
        <f t="shared" si="34"/>
        <v>-1500</v>
      </c>
      <c r="Y53" s="2"/>
      <c r="Z53" s="6">
        <f t="shared" si="35"/>
        <v>-1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7">
        <v>1500</v>
      </c>
      <c r="E54" s="2"/>
      <c r="F54" s="6">
        <f t="shared" si="28"/>
        <v>0</v>
      </c>
      <c r="G54" s="2"/>
      <c r="H54" s="7">
        <v>1000</v>
      </c>
      <c r="I54" s="2"/>
      <c r="J54" s="6">
        <f t="shared" si="29"/>
        <v>0</v>
      </c>
      <c r="K54" s="2"/>
      <c r="L54" s="7">
        <f t="shared" si="30"/>
        <v>500</v>
      </c>
      <c r="M54" s="2"/>
      <c r="N54" s="6">
        <f t="shared" si="31"/>
        <v>0.5</v>
      </c>
      <c r="O54" s="11"/>
      <c r="P54" s="7">
        <v>26500</v>
      </c>
      <c r="Q54" s="2"/>
      <c r="R54" s="6">
        <f t="shared" si="32"/>
        <v>0</v>
      </c>
      <c r="S54" s="2"/>
      <c r="T54" s="7">
        <v>43250</v>
      </c>
      <c r="U54" s="2"/>
      <c r="V54" s="6">
        <f t="shared" si="33"/>
        <v>0</v>
      </c>
      <c r="W54" s="2"/>
      <c r="X54" s="7">
        <f t="shared" si="34"/>
        <v>-16750</v>
      </c>
      <c r="Y54" s="2"/>
      <c r="Z54" s="6">
        <f t="shared" si="35"/>
        <v>-0.38728323699421963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ref="F55:F61" si="36">IF(D$12=0,0,D55/D$12)</f>
        <v>0</v>
      </c>
      <c r="G55" s="1"/>
      <c r="H55" s="1">
        <f>SUM(OSRRefH22_7x_0)</f>
        <v>10850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-10850</v>
      </c>
      <c r="M55" s="1"/>
      <c r="N55" s="5">
        <f t="shared" ref="N55:N61" si="39">IF(H55=0,0,L55/H55)</f>
        <v>-1</v>
      </c>
      <c r="O55" s="13"/>
      <c r="P55" s="1">
        <f>SUM(OSRRefP22_7x_0)</f>
        <v>81.56</v>
      </c>
      <c r="Q55" s="1"/>
      <c r="R55" s="5">
        <f t="shared" ref="R55:R61" si="40">IF(P$12=0,0,P55/P$12)</f>
        <v>0</v>
      </c>
      <c r="S55" s="1"/>
      <c r="T55" s="1">
        <f>SUM(OSRRefT22_7x_0)</f>
        <v>15050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-14968.44</v>
      </c>
      <c r="Y55" s="1"/>
      <c r="Z55" s="5">
        <f t="shared" ref="Z55:Z61" si="43">IF(T55=0,0,X55/T55)</f>
        <v>-0.99458073089701005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10850</v>
      </c>
      <c r="I56" s="2"/>
      <c r="J56" s="6">
        <f t="shared" si="37"/>
        <v>0</v>
      </c>
      <c r="K56" s="2"/>
      <c r="L56" s="7">
        <f t="shared" si="38"/>
        <v>-10850</v>
      </c>
      <c r="M56" s="2"/>
      <c r="N56" s="6">
        <f t="shared" si="39"/>
        <v>-1</v>
      </c>
      <c r="O56" s="11"/>
      <c r="P56" s="7">
        <v>81.56</v>
      </c>
      <c r="Q56" s="2"/>
      <c r="R56" s="6">
        <f t="shared" si="40"/>
        <v>0</v>
      </c>
      <c r="S56" s="2"/>
      <c r="T56" s="7">
        <v>15050</v>
      </c>
      <c r="U56" s="2"/>
      <c r="V56" s="6">
        <f t="shared" si="41"/>
        <v>0</v>
      </c>
      <c r="W56" s="2"/>
      <c r="X56" s="7">
        <f t="shared" si="42"/>
        <v>-14968.44</v>
      </c>
      <c r="Y56" s="2"/>
      <c r="Z56" s="6">
        <f t="shared" si="43"/>
        <v>-0.99458073089701005</v>
      </c>
    </row>
    <row r="57" spans="1:26" s="25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208.97</v>
      </c>
      <c r="E57" s="1"/>
      <c r="F57" s="5">
        <f t="shared" si="36"/>
        <v>0</v>
      </c>
      <c r="G57" s="1"/>
      <c r="H57" s="1">
        <f>SUM(OSRRefH22_8x_0)</f>
        <v>291</v>
      </c>
      <c r="I57" s="1"/>
      <c r="J57" s="5">
        <f t="shared" si="37"/>
        <v>0</v>
      </c>
      <c r="K57" s="1"/>
      <c r="L57" s="1">
        <f t="shared" si="38"/>
        <v>-82.03</v>
      </c>
      <c r="M57" s="1"/>
      <c r="N57" s="5">
        <f t="shared" si="39"/>
        <v>-0.28189003436426119</v>
      </c>
      <c r="O57" s="13"/>
      <c r="P57" s="1">
        <f>SUM(OSRRefP22_8x_0)</f>
        <v>2180.96</v>
      </c>
      <c r="Q57" s="1"/>
      <c r="R57" s="5">
        <f t="shared" si="40"/>
        <v>0</v>
      </c>
      <c r="S57" s="1"/>
      <c r="T57" s="1">
        <f>SUM(OSRRefT22_8x_0)</f>
        <v>2828</v>
      </c>
      <c r="U57" s="1"/>
      <c r="V57" s="5">
        <f t="shared" si="41"/>
        <v>0</v>
      </c>
      <c r="W57" s="1"/>
      <c r="X57" s="1">
        <f t="shared" si="42"/>
        <v>-647.04</v>
      </c>
      <c r="Y57" s="1"/>
      <c r="Z57" s="5">
        <f t="shared" si="43"/>
        <v>-0.22879773691654878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7">
        <v>208.97</v>
      </c>
      <c r="E58" s="2"/>
      <c r="F58" s="6">
        <f t="shared" si="36"/>
        <v>0</v>
      </c>
      <c r="G58" s="2"/>
      <c r="H58" s="7">
        <v>291</v>
      </c>
      <c r="I58" s="2"/>
      <c r="J58" s="6">
        <f t="shared" si="37"/>
        <v>0</v>
      </c>
      <c r="K58" s="2"/>
      <c r="L58" s="7">
        <f t="shared" si="38"/>
        <v>-82.03</v>
      </c>
      <c r="M58" s="2"/>
      <c r="N58" s="6">
        <f t="shared" si="39"/>
        <v>-0.28189003436426119</v>
      </c>
      <c r="O58" s="11"/>
      <c r="P58" s="7">
        <v>2180.96</v>
      </c>
      <c r="Q58" s="2"/>
      <c r="R58" s="6">
        <f t="shared" si="40"/>
        <v>0</v>
      </c>
      <c r="S58" s="2"/>
      <c r="T58" s="7">
        <v>2828</v>
      </c>
      <c r="U58" s="2"/>
      <c r="V58" s="6">
        <f t="shared" si="41"/>
        <v>0</v>
      </c>
      <c r="W58" s="2"/>
      <c r="X58" s="7">
        <f t="shared" si="42"/>
        <v>-647.04</v>
      </c>
      <c r="Y58" s="2"/>
      <c r="Z58" s="6">
        <f t="shared" si="43"/>
        <v>-0.22879773691654878</v>
      </c>
    </row>
    <row r="59" spans="1:26" s="25" customFormat="1" outlineLevel="1" collapsed="1" x14ac:dyDescent="0.25">
      <c r="A59" s="27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84.75</v>
      </c>
      <c r="E59" s="1"/>
      <c r="F59" s="5">
        <f t="shared" si="36"/>
        <v>0</v>
      </c>
      <c r="G59" s="1"/>
      <c r="H59" s="1">
        <f>SUM(OSRRefH22_9x_0)</f>
        <v>198</v>
      </c>
      <c r="I59" s="1"/>
      <c r="J59" s="5">
        <f t="shared" si="37"/>
        <v>0</v>
      </c>
      <c r="K59" s="1"/>
      <c r="L59" s="1">
        <f t="shared" si="38"/>
        <v>-113.25</v>
      </c>
      <c r="M59" s="1"/>
      <c r="N59" s="5">
        <f t="shared" si="39"/>
        <v>-0.57196969696969702</v>
      </c>
      <c r="O59" s="13"/>
      <c r="P59" s="1">
        <f>SUM(OSRRefP22_9x_0)</f>
        <v>1088.8500000000001</v>
      </c>
      <c r="Q59" s="1"/>
      <c r="R59" s="5">
        <f t="shared" si="40"/>
        <v>0</v>
      </c>
      <c r="S59" s="1"/>
      <c r="T59" s="1">
        <f>SUM(OSRRefT22_9x_0)</f>
        <v>1980</v>
      </c>
      <c r="U59" s="1"/>
      <c r="V59" s="5">
        <f t="shared" si="41"/>
        <v>0</v>
      </c>
      <c r="W59" s="1"/>
      <c r="X59" s="1">
        <f t="shared" si="42"/>
        <v>-891.14999999999986</v>
      </c>
      <c r="Y59" s="1"/>
      <c r="Z59" s="5">
        <f t="shared" si="43"/>
        <v>-0.45007575757575752</v>
      </c>
    </row>
    <row r="60" spans="1:26" s="24" customFormat="1" hidden="1" outlineLevel="2" x14ac:dyDescent="0.25">
      <c r="A60" s="26"/>
      <c r="B60" s="11" t="str">
        <f>CONCATENATE("          ", "6305", " - ", "FREIGHT OUT")</f>
        <v xml:space="preserve">          6305 - FREIGHT OUT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5.41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5.41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7">
        <v>84.75</v>
      </c>
      <c r="E61" s="2"/>
      <c r="F61" s="6">
        <f t="shared" si="36"/>
        <v>0</v>
      </c>
      <c r="G61" s="2"/>
      <c r="H61" s="7">
        <v>198</v>
      </c>
      <c r="I61" s="2"/>
      <c r="J61" s="6">
        <f t="shared" si="37"/>
        <v>0</v>
      </c>
      <c r="K61" s="2"/>
      <c r="L61" s="7">
        <f t="shared" si="38"/>
        <v>-113.25</v>
      </c>
      <c r="M61" s="2"/>
      <c r="N61" s="6">
        <f t="shared" si="39"/>
        <v>-0.57196969696969702</v>
      </c>
      <c r="O61" s="11"/>
      <c r="P61" s="7">
        <v>1083.44</v>
      </c>
      <c r="Q61" s="2"/>
      <c r="R61" s="6">
        <f t="shared" si="40"/>
        <v>0</v>
      </c>
      <c r="S61" s="2"/>
      <c r="T61" s="7">
        <v>1980</v>
      </c>
      <c r="U61" s="2"/>
      <c r="V61" s="6">
        <f t="shared" si="41"/>
        <v>0</v>
      </c>
      <c r="W61" s="2"/>
      <c r="X61" s="7">
        <f t="shared" si="42"/>
        <v>-896.56</v>
      </c>
      <c r="Y61" s="2"/>
      <c r="Z61" s="6">
        <f t="shared" si="43"/>
        <v>-0.45280808080808077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52</v>
      </c>
      <c r="E62" s="1"/>
      <c r="F62" s="5">
        <f t="shared" ref="F62:F66" si="44">IF(D$12=0,0,D62/D$12)</f>
        <v>0</v>
      </c>
      <c r="G62" s="1"/>
      <c r="H62" s="1">
        <f>SUM(OSRRefH22_10x_0)</f>
        <v>333</v>
      </c>
      <c r="I62" s="1"/>
      <c r="J62" s="5">
        <f t="shared" ref="J62:J66" si="45">IF(H$12=0,0,H62/H$12)</f>
        <v>0</v>
      </c>
      <c r="K62" s="1"/>
      <c r="L62" s="1">
        <f t="shared" ref="L62:L66" si="46">+D62-H62</f>
        <v>-281</v>
      </c>
      <c r="M62" s="1"/>
      <c r="N62" s="5">
        <f t="shared" ref="N62:N66" si="47">IF(H62=0,0,L62/H62)</f>
        <v>-0.84384384384384381</v>
      </c>
      <c r="O62" s="13"/>
      <c r="P62" s="1">
        <f>SUM(OSRRefP22_10x_0)</f>
        <v>42.34</v>
      </c>
      <c r="Q62" s="1"/>
      <c r="R62" s="5">
        <f t="shared" ref="R62:R66" si="48">IF(P$12=0,0,P62/P$12)</f>
        <v>0</v>
      </c>
      <c r="S62" s="1"/>
      <c r="T62" s="1">
        <f>SUM(OSRRefT22_10x_0)</f>
        <v>5080</v>
      </c>
      <c r="U62" s="1"/>
      <c r="V62" s="5">
        <f t="shared" ref="V62:V66" si="49">IF(T$12=0,0,T62/T$12)</f>
        <v>0</v>
      </c>
      <c r="W62" s="1"/>
      <c r="X62" s="1">
        <f t="shared" ref="X62:X66" si="50">+P62-T62</f>
        <v>-5037.66</v>
      </c>
      <c r="Y62" s="1"/>
      <c r="Z62" s="5">
        <f t="shared" ref="Z62:Z66" si="51">IF(T62=0,0,X62/T62)</f>
        <v>-0.99166535433070868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>
        <v>52</v>
      </c>
      <c r="E63" s="2"/>
      <c r="F63" s="6">
        <f t="shared" si="44"/>
        <v>0</v>
      </c>
      <c r="G63" s="2"/>
      <c r="H63" s="7">
        <v>333</v>
      </c>
      <c r="I63" s="2"/>
      <c r="J63" s="6">
        <f t="shared" si="45"/>
        <v>0</v>
      </c>
      <c r="K63" s="2"/>
      <c r="L63" s="7">
        <f t="shared" si="46"/>
        <v>-281</v>
      </c>
      <c r="M63" s="2"/>
      <c r="N63" s="6">
        <f t="shared" si="47"/>
        <v>-0.84384384384384381</v>
      </c>
      <c r="O63" s="11"/>
      <c r="P63" s="7">
        <v>42.34</v>
      </c>
      <c r="Q63" s="2"/>
      <c r="R63" s="6">
        <f t="shared" si="48"/>
        <v>0</v>
      </c>
      <c r="S63" s="2"/>
      <c r="T63" s="7">
        <v>5080</v>
      </c>
      <c r="U63" s="2"/>
      <c r="V63" s="6">
        <f t="shared" si="49"/>
        <v>0</v>
      </c>
      <c r="W63" s="2"/>
      <c r="X63" s="7">
        <f t="shared" si="50"/>
        <v>-5037.66</v>
      </c>
      <c r="Y63" s="2"/>
      <c r="Z63" s="6">
        <f t="shared" si="51"/>
        <v>-0.99166535433070868</v>
      </c>
    </row>
    <row r="64" spans="1:26" s="25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393.67</v>
      </c>
      <c r="E64" s="1"/>
      <c r="F64" s="5">
        <f t="shared" si="44"/>
        <v>0</v>
      </c>
      <c r="G64" s="1"/>
      <c r="H64" s="1">
        <f>SUM(OSRRefH22_11x_0)</f>
        <v>432</v>
      </c>
      <c r="I64" s="1"/>
      <c r="J64" s="5">
        <f t="shared" si="45"/>
        <v>0</v>
      </c>
      <c r="K64" s="1"/>
      <c r="L64" s="1">
        <f t="shared" si="46"/>
        <v>-38.329999999999984</v>
      </c>
      <c r="M64" s="1"/>
      <c r="N64" s="5">
        <f t="shared" si="47"/>
        <v>-8.8726851851851821E-2</v>
      </c>
      <c r="O64" s="13"/>
      <c r="P64" s="1">
        <f>SUM(OSRRefP22_11x_0)</f>
        <v>3936.7</v>
      </c>
      <c r="Q64" s="1"/>
      <c r="R64" s="5">
        <f t="shared" si="48"/>
        <v>0</v>
      </c>
      <c r="S64" s="1"/>
      <c r="T64" s="1">
        <f>SUM(OSRRefT22_11x_0)</f>
        <v>5639</v>
      </c>
      <c r="U64" s="1"/>
      <c r="V64" s="5">
        <f t="shared" si="49"/>
        <v>0</v>
      </c>
      <c r="W64" s="1"/>
      <c r="X64" s="1">
        <f t="shared" si="50"/>
        <v>-1702.3000000000002</v>
      </c>
      <c r="Y64" s="1"/>
      <c r="Z64" s="5">
        <f t="shared" si="51"/>
        <v>-0.30187976591594257</v>
      </c>
    </row>
    <row r="65" spans="1:26" s="24" customFormat="1" hidden="1" outlineLevel="2" x14ac:dyDescent="0.25">
      <c r="A65" s="26"/>
      <c r="B65" s="11" t="str">
        <f>CONCATENATE("          ", "6312", " - ", "FIRE &amp; THEFT INSURANCE")</f>
        <v xml:space="preserve">          6312 - FIRE &amp; THEFT INSURANCE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/>
      <c r="Q65" s="2"/>
      <c r="R65" s="6">
        <f t="shared" si="48"/>
        <v>0</v>
      </c>
      <c r="S65" s="2"/>
      <c r="T65" s="7">
        <v>780</v>
      </c>
      <c r="U65" s="2"/>
      <c r="V65" s="6">
        <f t="shared" si="49"/>
        <v>0</v>
      </c>
      <c r="W65" s="2"/>
      <c r="X65" s="7">
        <f t="shared" si="50"/>
        <v>-780</v>
      </c>
      <c r="Y65" s="2"/>
      <c r="Z65" s="6">
        <f t="shared" si="51"/>
        <v>-1</v>
      </c>
    </row>
    <row r="66" spans="1:26" s="24" customFormat="1" hidden="1" outlineLevel="2" x14ac:dyDescent="0.25">
      <c r="A66" s="26"/>
      <c r="B66" s="11" t="str">
        <f>CONCATENATE("          ", "6314", " - ", "LIABILITY INSURANCE")</f>
        <v xml:space="preserve">          6314 - LIABILITY INSURANCE</v>
      </c>
      <c r="C66" s="11"/>
      <c r="D66" s="7">
        <v>393.67</v>
      </c>
      <c r="E66" s="2"/>
      <c r="F66" s="6">
        <f t="shared" si="44"/>
        <v>0</v>
      </c>
      <c r="G66" s="2"/>
      <c r="H66" s="7">
        <v>432</v>
      </c>
      <c r="I66" s="2"/>
      <c r="J66" s="6">
        <f t="shared" si="45"/>
        <v>0</v>
      </c>
      <c r="K66" s="2"/>
      <c r="L66" s="7">
        <f t="shared" si="46"/>
        <v>-38.329999999999984</v>
      </c>
      <c r="M66" s="2"/>
      <c r="N66" s="6">
        <f t="shared" si="47"/>
        <v>-8.8726851851851821E-2</v>
      </c>
      <c r="O66" s="11"/>
      <c r="P66" s="7">
        <v>3936.7</v>
      </c>
      <c r="Q66" s="2"/>
      <c r="R66" s="6">
        <f t="shared" si="48"/>
        <v>0</v>
      </c>
      <c r="S66" s="2"/>
      <c r="T66" s="7">
        <v>4859</v>
      </c>
      <c r="U66" s="2"/>
      <c r="V66" s="6">
        <f t="shared" si="49"/>
        <v>0</v>
      </c>
      <c r="W66" s="2"/>
      <c r="X66" s="7">
        <f t="shared" si="50"/>
        <v>-922.30000000000018</v>
      </c>
      <c r="Y66" s="2"/>
      <c r="Z66" s="6">
        <f t="shared" si="51"/>
        <v>-0.18981271866639229</v>
      </c>
    </row>
    <row r="67" spans="1:26" s="25" customFormat="1" outlineLevel="1" collapsed="1" x14ac:dyDescent="0.25">
      <c r="A67" s="27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SUM(OSRRefD22_12x_0)</f>
        <v>13240.75</v>
      </c>
      <c r="E67" s="1"/>
      <c r="F67" s="5">
        <f t="shared" ref="F67:F71" si="52">IF(D$12=0,0,D67/D$12)</f>
        <v>0</v>
      </c>
      <c r="G67" s="1"/>
      <c r="H67" s="1">
        <f>SUM(OSRRefH22_12x_0)</f>
        <v>15833</v>
      </c>
      <c r="I67" s="1"/>
      <c r="J67" s="5">
        <f t="shared" ref="J67:J71" si="53">IF(H$12=0,0,H67/H$12)</f>
        <v>0</v>
      </c>
      <c r="K67" s="1"/>
      <c r="L67" s="1">
        <f t="shared" ref="L67:L71" si="54">+D67-H67</f>
        <v>-2592.25</v>
      </c>
      <c r="M67" s="1"/>
      <c r="N67" s="5">
        <f t="shared" ref="N67:N71" si="55">IF(H67=0,0,L67/H67)</f>
        <v>-0.1637244994631466</v>
      </c>
      <c r="O67" s="13"/>
      <c r="P67" s="1">
        <f>SUM(OSRRefP22_12x_0)</f>
        <v>107422.12000000001</v>
      </c>
      <c r="Q67" s="1"/>
      <c r="R67" s="5">
        <f t="shared" ref="R67:R71" si="56">IF(P$12=0,0,P67/P$12)</f>
        <v>0</v>
      </c>
      <c r="S67" s="1"/>
      <c r="T67" s="1">
        <f>SUM(OSRRefT22_12x_0)</f>
        <v>163830</v>
      </c>
      <c r="U67" s="1"/>
      <c r="V67" s="5">
        <f t="shared" ref="V67:V71" si="57">IF(T$12=0,0,T67/T$12)</f>
        <v>0</v>
      </c>
      <c r="W67" s="1"/>
      <c r="X67" s="1">
        <f t="shared" ref="X67:X71" si="58">+P67-T67</f>
        <v>-56407.87999999999</v>
      </c>
      <c r="Y67" s="1"/>
      <c r="Z67" s="5">
        <f t="shared" ref="Z67:Z71" si="59">IF(T67=0,0,X67/T67)</f>
        <v>-0.344307391808582</v>
      </c>
    </row>
    <row r="68" spans="1:26" s="24" customFormat="1" hidden="1" outlineLevel="2" x14ac:dyDescent="0.25">
      <c r="A68" s="26"/>
      <c r="B68" s="11" t="str">
        <f>CONCATENATE("          ", "6331", " - ", "INDIRECT COSTS-AUXILIARY ORGAN")</f>
        <v xml:space="preserve">          6331 - INDIRECT COSTS-AUXILIARY ORGAN</v>
      </c>
      <c r="C68" s="11"/>
      <c r="D68" s="7">
        <v>11585.75</v>
      </c>
      <c r="E68" s="2"/>
      <c r="F68" s="6">
        <f t="shared" si="52"/>
        <v>0</v>
      </c>
      <c r="G68" s="2"/>
      <c r="H68" s="7">
        <v>13500</v>
      </c>
      <c r="I68" s="2"/>
      <c r="J68" s="6">
        <f t="shared" si="53"/>
        <v>0</v>
      </c>
      <c r="K68" s="2"/>
      <c r="L68" s="7">
        <f t="shared" si="54"/>
        <v>-1914.25</v>
      </c>
      <c r="M68" s="2"/>
      <c r="N68" s="6">
        <f t="shared" si="55"/>
        <v>-0.14179629629629631</v>
      </c>
      <c r="O68" s="11"/>
      <c r="P68" s="7">
        <v>92418</v>
      </c>
      <c r="Q68" s="2"/>
      <c r="R68" s="6">
        <f t="shared" si="56"/>
        <v>0</v>
      </c>
      <c r="S68" s="2"/>
      <c r="T68" s="7">
        <v>103000</v>
      </c>
      <c r="U68" s="2"/>
      <c r="V68" s="6">
        <f t="shared" si="57"/>
        <v>0</v>
      </c>
      <c r="W68" s="2"/>
      <c r="X68" s="7">
        <f t="shared" si="58"/>
        <v>-10582</v>
      </c>
      <c r="Y68" s="2"/>
      <c r="Z68" s="6">
        <f t="shared" si="59"/>
        <v>-0.1027378640776699</v>
      </c>
    </row>
    <row r="69" spans="1:26" s="24" customFormat="1" hidden="1" outlineLevel="2" x14ac:dyDescent="0.25">
      <c r="A69" s="26"/>
      <c r="B69" s="11" t="str">
        <f>CONCATENATE("          ", "6332", " - ", "CONSULTANT FEES")</f>
        <v xml:space="preserve">          6332 - CONSULTANT FEES</v>
      </c>
      <c r="C69" s="11"/>
      <c r="D69" s="7"/>
      <c r="E69" s="2"/>
      <c r="F69" s="6">
        <f t="shared" si="52"/>
        <v>0</v>
      </c>
      <c r="G69" s="2"/>
      <c r="H69" s="7">
        <v>250</v>
      </c>
      <c r="I69" s="2"/>
      <c r="J69" s="6">
        <f t="shared" si="53"/>
        <v>0</v>
      </c>
      <c r="K69" s="2"/>
      <c r="L69" s="7">
        <f t="shared" si="54"/>
        <v>-250</v>
      </c>
      <c r="M69" s="2"/>
      <c r="N69" s="6">
        <f t="shared" si="55"/>
        <v>-1</v>
      </c>
      <c r="O69" s="11"/>
      <c r="P69" s="7"/>
      <c r="Q69" s="2"/>
      <c r="R69" s="6">
        <f t="shared" si="56"/>
        <v>0</v>
      </c>
      <c r="S69" s="2"/>
      <c r="T69" s="7">
        <v>30500</v>
      </c>
      <c r="U69" s="2"/>
      <c r="V69" s="6">
        <f t="shared" si="57"/>
        <v>0</v>
      </c>
      <c r="W69" s="2"/>
      <c r="X69" s="7">
        <f t="shared" si="58"/>
        <v>-30500</v>
      </c>
      <c r="Y69" s="2"/>
      <c r="Z69" s="6">
        <f t="shared" si="59"/>
        <v>-1</v>
      </c>
    </row>
    <row r="70" spans="1:26" s="24" customFormat="1" hidden="1" outlineLevel="2" x14ac:dyDescent="0.25">
      <c r="A70" s="26"/>
      <c r="B70" s="11" t="str">
        <f>CONCATENATE("          ", "6334", " - ", "LEGAL COUNCIL EXPENSE")</f>
        <v xml:space="preserve">          6334 - LEGAL COUNCIL EXPENSE</v>
      </c>
      <c r="C70" s="11"/>
      <c r="D70" s="7"/>
      <c r="E70" s="2"/>
      <c r="F70" s="6">
        <f t="shared" si="52"/>
        <v>0</v>
      </c>
      <c r="G70" s="2"/>
      <c r="H70" s="7">
        <v>833</v>
      </c>
      <c r="I70" s="2"/>
      <c r="J70" s="6">
        <f t="shared" si="53"/>
        <v>0</v>
      </c>
      <c r="K70" s="2"/>
      <c r="L70" s="7">
        <f t="shared" si="54"/>
        <v>-833</v>
      </c>
      <c r="M70" s="2"/>
      <c r="N70" s="6">
        <f t="shared" si="55"/>
        <v>-1</v>
      </c>
      <c r="O70" s="11"/>
      <c r="P70" s="7">
        <v>6979.24</v>
      </c>
      <c r="Q70" s="2"/>
      <c r="R70" s="6">
        <f t="shared" si="56"/>
        <v>0</v>
      </c>
      <c r="S70" s="2"/>
      <c r="T70" s="7">
        <v>12830</v>
      </c>
      <c r="U70" s="2"/>
      <c r="V70" s="6">
        <f t="shared" si="57"/>
        <v>0</v>
      </c>
      <c r="W70" s="2"/>
      <c r="X70" s="7">
        <f t="shared" si="58"/>
        <v>-5850.76</v>
      </c>
      <c r="Y70" s="2"/>
      <c r="Z70" s="6">
        <f t="shared" si="59"/>
        <v>-0.45602182385035078</v>
      </c>
    </row>
    <row r="71" spans="1:26" s="24" customFormat="1" hidden="1" outlineLevel="2" x14ac:dyDescent="0.25">
      <c r="A71" s="26"/>
      <c r="B71" s="11" t="str">
        <f>CONCATENATE("          ", "6336", " - ", "PROFESSIONAL SERVICES")</f>
        <v xml:space="preserve">          6336 - PROFESSIONAL SERVICES</v>
      </c>
      <c r="C71" s="11"/>
      <c r="D71" s="7">
        <v>1655</v>
      </c>
      <c r="E71" s="2"/>
      <c r="F71" s="6">
        <f t="shared" si="52"/>
        <v>0</v>
      </c>
      <c r="G71" s="2"/>
      <c r="H71" s="7">
        <v>1250</v>
      </c>
      <c r="I71" s="2"/>
      <c r="J71" s="6">
        <f t="shared" si="53"/>
        <v>0</v>
      </c>
      <c r="K71" s="2"/>
      <c r="L71" s="7">
        <f t="shared" si="54"/>
        <v>405</v>
      </c>
      <c r="M71" s="2"/>
      <c r="N71" s="6">
        <f t="shared" si="55"/>
        <v>0.32400000000000001</v>
      </c>
      <c r="O71" s="11"/>
      <c r="P71" s="7">
        <v>8024.88</v>
      </c>
      <c r="Q71" s="2"/>
      <c r="R71" s="6">
        <f t="shared" si="56"/>
        <v>0</v>
      </c>
      <c r="S71" s="2"/>
      <c r="T71" s="7">
        <v>17500</v>
      </c>
      <c r="U71" s="2"/>
      <c r="V71" s="6">
        <f t="shared" si="57"/>
        <v>0</v>
      </c>
      <c r="W71" s="2"/>
      <c r="X71" s="7">
        <f t="shared" si="58"/>
        <v>-9475.119999999999</v>
      </c>
      <c r="Y71" s="2"/>
      <c r="Z71" s="6">
        <f t="shared" si="59"/>
        <v>-0.54143542857142857</v>
      </c>
    </row>
    <row r="72" spans="1:26" s="25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SUM(OSRRefD22_13x_0)</f>
        <v>21727.52</v>
      </c>
      <c r="E72" s="1"/>
      <c r="F72" s="5">
        <f t="shared" ref="F72:F76" si="60">IF(D$12=0,0,D72/D$12)</f>
        <v>0</v>
      </c>
      <c r="G72" s="1"/>
      <c r="H72" s="1">
        <f>SUM(OSRRefH22_13x_0)</f>
        <v>31402</v>
      </c>
      <c r="I72" s="1"/>
      <c r="J72" s="5">
        <f t="shared" ref="J72:J76" si="61">IF(H$12=0,0,H72/H$12)</f>
        <v>0</v>
      </c>
      <c r="K72" s="1"/>
      <c r="L72" s="1">
        <f t="shared" ref="L72:L76" si="62">+D72-H72</f>
        <v>-9674.48</v>
      </c>
      <c r="M72" s="1"/>
      <c r="N72" s="5">
        <f t="shared" ref="N72:N76" si="63">IF(H72=0,0,L72/H72)</f>
        <v>-0.30808483536080505</v>
      </c>
      <c r="O72" s="13"/>
      <c r="P72" s="1">
        <f>SUM(OSRRefP22_13x_0)</f>
        <v>244325.63999999998</v>
      </c>
      <c r="Q72" s="1"/>
      <c r="R72" s="5">
        <f t="shared" ref="R72:R76" si="64">IF(P$12=0,0,P72/P$12)</f>
        <v>0</v>
      </c>
      <c r="S72" s="1"/>
      <c r="T72" s="1">
        <f>SUM(OSRRefT22_13x_0)</f>
        <v>287420</v>
      </c>
      <c r="U72" s="1"/>
      <c r="V72" s="5">
        <f t="shared" ref="V72:V76" si="65">IF(T$12=0,0,T72/T$12)</f>
        <v>0</v>
      </c>
      <c r="W72" s="1"/>
      <c r="X72" s="1">
        <f t="shared" ref="X72:X76" si="66">+P72-T72</f>
        <v>-43094.360000000015</v>
      </c>
      <c r="Y72" s="1"/>
      <c r="Z72" s="5">
        <f t="shared" ref="Z72:Z76" si="67">IF(T72=0,0,X72/T72)</f>
        <v>-0.14993514717138687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5878.21</v>
      </c>
      <c r="E73" s="2"/>
      <c r="F73" s="6">
        <f t="shared" si="60"/>
        <v>0</v>
      </c>
      <c r="G73" s="2"/>
      <c r="H73" s="7">
        <v>13470</v>
      </c>
      <c r="I73" s="2"/>
      <c r="J73" s="6">
        <f t="shared" si="61"/>
        <v>0</v>
      </c>
      <c r="K73" s="2"/>
      <c r="L73" s="7">
        <f t="shared" si="62"/>
        <v>-7591.79</v>
      </c>
      <c r="M73" s="2"/>
      <c r="N73" s="6">
        <f t="shared" si="63"/>
        <v>-0.5636072754268745</v>
      </c>
      <c r="O73" s="11"/>
      <c r="P73" s="7">
        <v>87166.720000000001</v>
      </c>
      <c r="Q73" s="2"/>
      <c r="R73" s="6">
        <f t="shared" si="64"/>
        <v>0</v>
      </c>
      <c r="S73" s="2"/>
      <c r="T73" s="7">
        <v>116100</v>
      </c>
      <c r="U73" s="2"/>
      <c r="V73" s="6">
        <f t="shared" si="65"/>
        <v>0</v>
      </c>
      <c r="W73" s="2"/>
      <c r="X73" s="7">
        <f t="shared" si="66"/>
        <v>-28933.279999999999</v>
      </c>
      <c r="Y73" s="2"/>
      <c r="Z73" s="6">
        <f t="shared" si="67"/>
        <v>-0.24920999138673555</v>
      </c>
    </row>
    <row r="74" spans="1:26" s="24" customFormat="1" hidden="1" outlineLevel="2" x14ac:dyDescent="0.25">
      <c r="A74" s="26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60"/>
        <v>0</v>
      </c>
      <c r="G74" s="2"/>
      <c r="H74" s="7">
        <v>1600</v>
      </c>
      <c r="I74" s="2"/>
      <c r="J74" s="6">
        <f t="shared" si="61"/>
        <v>0</v>
      </c>
      <c r="K74" s="2"/>
      <c r="L74" s="7">
        <f t="shared" si="62"/>
        <v>-1600</v>
      </c>
      <c r="M74" s="2"/>
      <c r="N74" s="6">
        <f t="shared" si="63"/>
        <v>-1</v>
      </c>
      <c r="O74" s="11"/>
      <c r="P74" s="7"/>
      <c r="Q74" s="2"/>
      <c r="R74" s="6">
        <f t="shared" si="64"/>
        <v>0</v>
      </c>
      <c r="S74" s="2"/>
      <c r="T74" s="7">
        <v>16000</v>
      </c>
      <c r="U74" s="2"/>
      <c r="V74" s="6">
        <f t="shared" si="65"/>
        <v>0</v>
      </c>
      <c r="W74" s="2"/>
      <c r="X74" s="7">
        <f t="shared" si="66"/>
        <v>-16000</v>
      </c>
      <c r="Y74" s="2"/>
      <c r="Z74" s="6">
        <f t="shared" si="67"/>
        <v>-1</v>
      </c>
    </row>
    <row r="75" spans="1:26" s="24" customFormat="1" hidden="1" outlineLevel="2" x14ac:dyDescent="0.25">
      <c r="A75" s="26"/>
      <c r="B75" s="11" t="str">
        <f>CONCATENATE("          ", "6373", " - ", "MAINTENANCE CONTRACTS")</f>
        <v xml:space="preserve">          6373 - MAINTENANCE CONTRACTS</v>
      </c>
      <c r="C75" s="11"/>
      <c r="D75" s="7">
        <v>15799.19</v>
      </c>
      <c r="E75" s="2"/>
      <c r="F75" s="6">
        <f t="shared" si="60"/>
        <v>0</v>
      </c>
      <c r="G75" s="2"/>
      <c r="H75" s="7">
        <v>16332</v>
      </c>
      <c r="I75" s="2"/>
      <c r="J75" s="6">
        <f t="shared" si="61"/>
        <v>0</v>
      </c>
      <c r="K75" s="2"/>
      <c r="L75" s="7">
        <f t="shared" si="62"/>
        <v>-532.80999999999949</v>
      </c>
      <c r="M75" s="2"/>
      <c r="N75" s="6">
        <f t="shared" si="63"/>
        <v>-3.2623683566005354E-2</v>
      </c>
      <c r="O75" s="11"/>
      <c r="P75" s="7">
        <v>154811.49</v>
      </c>
      <c r="Q75" s="2"/>
      <c r="R75" s="6">
        <f t="shared" si="64"/>
        <v>0</v>
      </c>
      <c r="S75" s="2"/>
      <c r="T75" s="7">
        <v>155320</v>
      </c>
      <c r="U75" s="2"/>
      <c r="V75" s="6">
        <f t="shared" si="65"/>
        <v>0</v>
      </c>
      <c r="W75" s="2"/>
      <c r="X75" s="7">
        <f t="shared" si="66"/>
        <v>-508.51000000000931</v>
      </c>
      <c r="Y75" s="2"/>
      <c r="Z75" s="6">
        <f t="shared" si="67"/>
        <v>-3.273950553695656E-3</v>
      </c>
    </row>
    <row r="76" spans="1:26" s="24" customFormat="1" hidden="1" outlineLevel="2" x14ac:dyDescent="0.25">
      <c r="A76" s="26"/>
      <c r="B76" s="11" t="str">
        <f>CONCATENATE("          ", "6375", " - ", "OUTSIDE REPAIRS &amp; MAINTENANCE")</f>
        <v xml:space="preserve">          6375 - OUTSIDE REPAIRS &amp; MAINTENANCE</v>
      </c>
      <c r="C76" s="11"/>
      <c r="D76" s="7">
        <v>50.12</v>
      </c>
      <c r="E76" s="2"/>
      <c r="F76" s="6">
        <f t="shared" si="60"/>
        <v>0</v>
      </c>
      <c r="G76" s="2"/>
      <c r="H76" s="7"/>
      <c r="I76" s="2"/>
      <c r="J76" s="6">
        <f t="shared" si="61"/>
        <v>0</v>
      </c>
      <c r="K76" s="2"/>
      <c r="L76" s="7">
        <f t="shared" si="62"/>
        <v>50.12</v>
      </c>
      <c r="M76" s="2"/>
      <c r="N76" s="6">
        <f t="shared" si="63"/>
        <v>0</v>
      </c>
      <c r="O76" s="11"/>
      <c r="P76" s="7">
        <v>2347.4299999999998</v>
      </c>
      <c r="Q76" s="2"/>
      <c r="R76" s="6">
        <f t="shared" si="64"/>
        <v>0</v>
      </c>
      <c r="S76" s="2"/>
      <c r="T76" s="7"/>
      <c r="U76" s="2"/>
      <c r="V76" s="6">
        <f t="shared" si="65"/>
        <v>0</v>
      </c>
      <c r="W76" s="2"/>
      <c r="X76" s="7">
        <f t="shared" si="66"/>
        <v>2347.4299999999998</v>
      </c>
      <c r="Y76" s="2"/>
      <c r="Z76" s="6">
        <f t="shared" si="67"/>
        <v>0</v>
      </c>
    </row>
    <row r="77" spans="1:26" s="25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SUM(OSRRefD22_14x_0)</f>
        <v>0</v>
      </c>
      <c r="E77" s="1"/>
      <c r="F77" s="5">
        <f t="shared" ref="F77:F79" si="68">IF(D$12=0,0,D77/D$12)</f>
        <v>0</v>
      </c>
      <c r="G77" s="1"/>
      <c r="H77" s="1">
        <f>SUM(OSRRefH22_14x_0)</f>
        <v>525</v>
      </c>
      <c r="I77" s="1"/>
      <c r="J77" s="5">
        <f t="shared" ref="J77:J79" si="69">IF(H$12=0,0,H77/H$12)</f>
        <v>0</v>
      </c>
      <c r="K77" s="1"/>
      <c r="L77" s="1">
        <f t="shared" ref="L77:L79" si="70">+D77-H77</f>
        <v>-525</v>
      </c>
      <c r="M77" s="1"/>
      <c r="N77" s="5">
        <f t="shared" ref="N77:N79" si="71">IF(H77=0,0,L77/H77)</f>
        <v>-1</v>
      </c>
      <c r="O77" s="13"/>
      <c r="P77" s="1">
        <f>SUM(OSRRefP22_14x_0)</f>
        <v>5580.34</v>
      </c>
      <c r="Q77" s="1"/>
      <c r="R77" s="5">
        <f t="shared" ref="R77:R79" si="72">IF(P$12=0,0,P77/P$12)</f>
        <v>0</v>
      </c>
      <c r="S77" s="1"/>
      <c r="T77" s="1">
        <f>SUM(OSRRefT22_14x_0)</f>
        <v>5250</v>
      </c>
      <c r="U77" s="1"/>
      <c r="V77" s="5">
        <f t="shared" ref="V77:V79" si="73">IF(T$12=0,0,T77/T$12)</f>
        <v>0</v>
      </c>
      <c r="W77" s="1"/>
      <c r="X77" s="1">
        <f t="shared" ref="X77:X79" si="74">+P77-T77</f>
        <v>330.34000000000015</v>
      </c>
      <c r="Y77" s="1"/>
      <c r="Z77" s="5">
        <f t="shared" ref="Z77:Z79" si="75">IF(T77=0,0,X77/T77)</f>
        <v>6.292190476190479E-2</v>
      </c>
    </row>
    <row r="78" spans="1:26" s="24" customFormat="1" hidden="1" outlineLevel="2" x14ac:dyDescent="0.25">
      <c r="A78" s="26"/>
      <c r="B78" s="11" t="str">
        <f>CONCATENATE("          ", "6281", " - ", "STORAGE FEE")</f>
        <v xml:space="preserve">          6281 - STORAGE FEE</v>
      </c>
      <c r="C78" s="11"/>
      <c r="D78" s="7"/>
      <c r="E78" s="2"/>
      <c r="F78" s="6">
        <f t="shared" si="68"/>
        <v>0</v>
      </c>
      <c r="G78" s="2"/>
      <c r="H78" s="7">
        <v>500</v>
      </c>
      <c r="I78" s="2"/>
      <c r="J78" s="6">
        <f t="shared" si="69"/>
        <v>0</v>
      </c>
      <c r="K78" s="2"/>
      <c r="L78" s="7">
        <f t="shared" si="70"/>
        <v>-500</v>
      </c>
      <c r="M78" s="2"/>
      <c r="N78" s="6">
        <f t="shared" si="71"/>
        <v>-1</v>
      </c>
      <c r="O78" s="11"/>
      <c r="P78" s="7">
        <v>5580.34</v>
      </c>
      <c r="Q78" s="2"/>
      <c r="R78" s="6">
        <f t="shared" si="72"/>
        <v>0</v>
      </c>
      <c r="S78" s="2"/>
      <c r="T78" s="7">
        <v>5000</v>
      </c>
      <c r="U78" s="2"/>
      <c r="V78" s="6">
        <f t="shared" si="73"/>
        <v>0</v>
      </c>
      <c r="W78" s="2"/>
      <c r="X78" s="7">
        <f t="shared" si="74"/>
        <v>580.34000000000015</v>
      </c>
      <c r="Y78" s="2"/>
      <c r="Z78" s="6">
        <f t="shared" si="75"/>
        <v>0.11606800000000003</v>
      </c>
    </row>
    <row r="79" spans="1:26" s="24" customFormat="1" hidden="1" outlineLevel="2" x14ac:dyDescent="0.25">
      <c r="A79" s="26"/>
      <c r="B79" s="11" t="str">
        <f>CONCATENATE("          ", "6286", " - ", "LAUNDRY EXPENSE")</f>
        <v xml:space="preserve">          6286 - LAUNDRY EXPENSE</v>
      </c>
      <c r="C79" s="11"/>
      <c r="D79" s="7"/>
      <c r="E79" s="2"/>
      <c r="F79" s="6">
        <f t="shared" si="68"/>
        <v>0</v>
      </c>
      <c r="G79" s="2"/>
      <c r="H79" s="7">
        <v>25</v>
      </c>
      <c r="I79" s="2"/>
      <c r="J79" s="6">
        <f t="shared" si="69"/>
        <v>0</v>
      </c>
      <c r="K79" s="2"/>
      <c r="L79" s="7">
        <f t="shared" si="70"/>
        <v>-25</v>
      </c>
      <c r="M79" s="2"/>
      <c r="N79" s="6">
        <f t="shared" si="71"/>
        <v>-1</v>
      </c>
      <c r="O79" s="11"/>
      <c r="P79" s="7"/>
      <c r="Q79" s="2"/>
      <c r="R79" s="6">
        <f t="shared" si="72"/>
        <v>0</v>
      </c>
      <c r="S79" s="2"/>
      <c r="T79" s="7">
        <v>250</v>
      </c>
      <c r="U79" s="2"/>
      <c r="V79" s="6">
        <f t="shared" si="73"/>
        <v>0</v>
      </c>
      <c r="W79" s="2"/>
      <c r="X79" s="7">
        <f t="shared" si="74"/>
        <v>-250</v>
      </c>
      <c r="Y79" s="2"/>
      <c r="Z79" s="6">
        <f t="shared" si="75"/>
        <v>-1</v>
      </c>
    </row>
    <row r="80" spans="1:26" s="25" customFormat="1" outlineLevel="1" collapsed="1" x14ac:dyDescent="0.25">
      <c r="A80" s="27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SUM(OSRRefD22_15x_0)</f>
        <v>4668</v>
      </c>
      <c r="E80" s="1"/>
      <c r="F80" s="5">
        <f t="shared" ref="F80:F82" si="76">IF(D$12=0,0,D80/D$12)</f>
        <v>0</v>
      </c>
      <c r="G80" s="1"/>
      <c r="H80" s="1">
        <f>SUM(OSRRefH22_15x_0)</f>
        <v>4655</v>
      </c>
      <c r="I80" s="1"/>
      <c r="J80" s="5">
        <f t="shared" ref="J80:J82" si="77">IF(H$12=0,0,H80/H$12)</f>
        <v>0</v>
      </c>
      <c r="K80" s="1"/>
      <c r="L80" s="1">
        <f t="shared" ref="L80:L82" si="78">+D80-H80</f>
        <v>13</v>
      </c>
      <c r="M80" s="1"/>
      <c r="N80" s="5">
        <f t="shared" ref="N80:N82" si="79">IF(H80=0,0,L80/H80)</f>
        <v>2.7926960257787323E-3</v>
      </c>
      <c r="O80" s="13"/>
      <c r="P80" s="1">
        <f>SUM(OSRRefP22_15x_0)</f>
        <v>7722.99</v>
      </c>
      <c r="Q80" s="1"/>
      <c r="R80" s="5">
        <f t="shared" ref="R80:R82" si="80">IF(P$12=0,0,P80/P$12)</f>
        <v>0</v>
      </c>
      <c r="S80" s="1"/>
      <c r="T80" s="1">
        <f>SUM(OSRRefT22_15x_0)</f>
        <v>8800</v>
      </c>
      <c r="U80" s="1"/>
      <c r="V80" s="5">
        <f t="shared" ref="V80:V82" si="81">IF(T$12=0,0,T80/T$12)</f>
        <v>0</v>
      </c>
      <c r="W80" s="1"/>
      <c r="X80" s="1">
        <f t="shared" ref="X80:X82" si="82">+P80-T80</f>
        <v>-1077.0100000000002</v>
      </c>
      <c r="Y80" s="1"/>
      <c r="Z80" s="5">
        <f t="shared" ref="Z80:Z82" si="83">IF(T80=0,0,X80/T80)</f>
        <v>-0.12238750000000002</v>
      </c>
    </row>
    <row r="81" spans="1:26" s="24" customFormat="1" hidden="1" outlineLevel="2" x14ac:dyDescent="0.25">
      <c r="A81" s="26"/>
      <c r="B81" s="11" t="str">
        <f>CONCATENATE("          ", "6258", " - ", "MEMBERSHIP DUES")</f>
        <v xml:space="preserve">          6258 - MEMBERSHIP DUES</v>
      </c>
      <c r="C81" s="11"/>
      <c r="D81" s="7">
        <v>4668</v>
      </c>
      <c r="E81" s="2"/>
      <c r="F81" s="6">
        <f t="shared" si="76"/>
        <v>0</v>
      </c>
      <c r="G81" s="2"/>
      <c r="H81" s="7">
        <v>4555</v>
      </c>
      <c r="I81" s="2"/>
      <c r="J81" s="6">
        <f t="shared" si="77"/>
        <v>0</v>
      </c>
      <c r="K81" s="2"/>
      <c r="L81" s="7">
        <f t="shared" si="78"/>
        <v>113</v>
      </c>
      <c r="M81" s="2"/>
      <c r="N81" s="6">
        <f t="shared" si="79"/>
        <v>2.4807903402854006E-2</v>
      </c>
      <c r="O81" s="11"/>
      <c r="P81" s="7">
        <v>7722.99</v>
      </c>
      <c r="Q81" s="2"/>
      <c r="R81" s="6">
        <f t="shared" si="80"/>
        <v>0</v>
      </c>
      <c r="S81" s="2"/>
      <c r="T81" s="7">
        <v>7800</v>
      </c>
      <c r="U81" s="2"/>
      <c r="V81" s="6">
        <f t="shared" si="81"/>
        <v>0</v>
      </c>
      <c r="W81" s="2"/>
      <c r="X81" s="7">
        <f t="shared" si="82"/>
        <v>-77.010000000000218</v>
      </c>
      <c r="Y81" s="2"/>
      <c r="Z81" s="6">
        <f t="shared" si="83"/>
        <v>-9.8730769230769514E-3</v>
      </c>
    </row>
    <row r="82" spans="1:26" s="24" customFormat="1" hidden="1" outlineLevel="2" x14ac:dyDescent="0.25">
      <c r="A82" s="26"/>
      <c r="B82" s="11" t="str">
        <f>CONCATENATE("          ", "6275", " - ", "SUBSCRIPTIONS")</f>
        <v xml:space="preserve">          6275 - SUBSCRIPTIONS</v>
      </c>
      <c r="C82" s="11"/>
      <c r="D82" s="7"/>
      <c r="E82" s="2"/>
      <c r="F82" s="6">
        <f t="shared" si="76"/>
        <v>0</v>
      </c>
      <c r="G82" s="2"/>
      <c r="H82" s="7">
        <v>100</v>
      </c>
      <c r="I82" s="2"/>
      <c r="J82" s="6">
        <f t="shared" si="77"/>
        <v>0</v>
      </c>
      <c r="K82" s="2"/>
      <c r="L82" s="7">
        <f t="shared" si="78"/>
        <v>-100</v>
      </c>
      <c r="M82" s="2"/>
      <c r="N82" s="6">
        <f t="shared" si="79"/>
        <v>-1</v>
      </c>
      <c r="O82" s="11"/>
      <c r="P82" s="7"/>
      <c r="Q82" s="2"/>
      <c r="R82" s="6">
        <f t="shared" si="80"/>
        <v>0</v>
      </c>
      <c r="S82" s="2"/>
      <c r="T82" s="7">
        <v>1000</v>
      </c>
      <c r="U82" s="2"/>
      <c r="V82" s="6">
        <f t="shared" si="81"/>
        <v>0</v>
      </c>
      <c r="W82" s="2"/>
      <c r="X82" s="7">
        <f t="shared" si="82"/>
        <v>-1000</v>
      </c>
      <c r="Y82" s="2"/>
      <c r="Z82" s="6">
        <f t="shared" si="83"/>
        <v>-1</v>
      </c>
    </row>
    <row r="83" spans="1:26" s="25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SUM(OSRRefD22_16x_0)</f>
        <v>251.76</v>
      </c>
      <c r="E83" s="1"/>
      <c r="F83" s="5">
        <f t="shared" ref="F83:F88" si="84">IF(D$12=0,0,D83/D$12)</f>
        <v>0</v>
      </c>
      <c r="G83" s="1"/>
      <c r="H83" s="1">
        <f>SUM(OSRRefH22_16x_0)</f>
        <v>4417</v>
      </c>
      <c r="I83" s="1"/>
      <c r="J83" s="5">
        <f t="shared" ref="J83:J88" si="85">IF(H$12=0,0,H83/H$12)</f>
        <v>0</v>
      </c>
      <c r="K83" s="1"/>
      <c r="L83" s="1">
        <f t="shared" ref="L83:L88" si="86">+D83-H83</f>
        <v>-4165.24</v>
      </c>
      <c r="M83" s="1"/>
      <c r="N83" s="5">
        <f t="shared" ref="N83:N88" si="87">IF(H83=0,0,L83/H83)</f>
        <v>-0.94300203758206924</v>
      </c>
      <c r="O83" s="13"/>
      <c r="P83" s="1">
        <f>SUM(OSRRefP22_16x_0)</f>
        <v>3606.3</v>
      </c>
      <c r="Q83" s="1"/>
      <c r="R83" s="5">
        <f t="shared" ref="R83:R88" si="88">IF(P$12=0,0,P83/P$12)</f>
        <v>0</v>
      </c>
      <c r="S83" s="1"/>
      <c r="T83" s="1">
        <f>SUM(OSRRefT22_16x_0)</f>
        <v>62754</v>
      </c>
      <c r="U83" s="1"/>
      <c r="V83" s="5">
        <f t="shared" ref="V83:V88" si="89">IF(T$12=0,0,T83/T$12)</f>
        <v>0</v>
      </c>
      <c r="W83" s="1"/>
      <c r="X83" s="1">
        <f t="shared" ref="X83:X88" si="90">+P83-T83</f>
        <v>-59147.7</v>
      </c>
      <c r="Y83" s="1"/>
      <c r="Z83" s="5">
        <f t="shared" ref="Z83:Z88" si="91">IF(T83=0,0,X83/T83)</f>
        <v>-0.94253274691653122</v>
      </c>
    </row>
    <row r="84" spans="1:26" s="24" customFormat="1" hidden="1" outlineLevel="2" x14ac:dyDescent="0.25">
      <c r="A84" s="26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84"/>
        <v>0</v>
      </c>
      <c r="G84" s="2"/>
      <c r="H84" s="7">
        <v>1000</v>
      </c>
      <c r="I84" s="2"/>
      <c r="J84" s="6">
        <f t="shared" si="85"/>
        <v>0</v>
      </c>
      <c r="K84" s="2"/>
      <c r="L84" s="7">
        <f t="shared" si="86"/>
        <v>-1000</v>
      </c>
      <c r="M84" s="2"/>
      <c r="N84" s="6">
        <f t="shared" si="87"/>
        <v>-1</v>
      </c>
      <c r="O84" s="11"/>
      <c r="P84" s="7"/>
      <c r="Q84" s="2"/>
      <c r="R84" s="6">
        <f t="shared" si="88"/>
        <v>0</v>
      </c>
      <c r="S84" s="2"/>
      <c r="T84" s="7">
        <v>19584</v>
      </c>
      <c r="U84" s="2"/>
      <c r="V84" s="6">
        <f t="shared" si="89"/>
        <v>0</v>
      </c>
      <c r="W84" s="2"/>
      <c r="X84" s="7">
        <f t="shared" si="90"/>
        <v>-19584</v>
      </c>
      <c r="Y84" s="2"/>
      <c r="Z84" s="6">
        <f t="shared" si="91"/>
        <v>-1</v>
      </c>
    </row>
    <row r="85" spans="1:26" s="24" customFormat="1" hidden="1" outlineLevel="2" x14ac:dyDescent="0.25">
      <c r="A85" s="26"/>
      <c r="B85" s="11" t="str">
        <f>CONCATENATE("          ", "6235", " - ", "COVID-19 EXPENSES")</f>
        <v xml:space="preserve">          6235 - COVID-19 EXPENSES</v>
      </c>
      <c r="C85" s="11"/>
      <c r="D85" s="7"/>
      <c r="E85" s="2"/>
      <c r="F85" s="6">
        <f t="shared" si="84"/>
        <v>0</v>
      </c>
      <c r="G85" s="2"/>
      <c r="H85" s="7">
        <v>417</v>
      </c>
      <c r="I85" s="2"/>
      <c r="J85" s="6">
        <f t="shared" si="85"/>
        <v>0</v>
      </c>
      <c r="K85" s="2"/>
      <c r="L85" s="7">
        <f t="shared" si="86"/>
        <v>-417</v>
      </c>
      <c r="M85" s="2"/>
      <c r="N85" s="6">
        <f t="shared" si="87"/>
        <v>-1</v>
      </c>
      <c r="O85" s="11"/>
      <c r="P85" s="7">
        <v>810.3</v>
      </c>
      <c r="Q85" s="2"/>
      <c r="R85" s="6">
        <f t="shared" si="88"/>
        <v>0</v>
      </c>
      <c r="S85" s="2"/>
      <c r="T85" s="7">
        <v>5670</v>
      </c>
      <c r="U85" s="2"/>
      <c r="V85" s="6">
        <f t="shared" si="89"/>
        <v>0</v>
      </c>
      <c r="W85" s="2"/>
      <c r="X85" s="7">
        <f t="shared" si="90"/>
        <v>-4859.7</v>
      </c>
      <c r="Y85" s="2"/>
      <c r="Z85" s="6">
        <f t="shared" si="91"/>
        <v>-0.85708994708994701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7">
        <v>251.76</v>
      </c>
      <c r="E86" s="2"/>
      <c r="F86" s="6">
        <f t="shared" si="84"/>
        <v>0</v>
      </c>
      <c r="G86" s="2"/>
      <c r="H86" s="7">
        <v>2583</v>
      </c>
      <c r="I86" s="2"/>
      <c r="J86" s="6">
        <f t="shared" si="85"/>
        <v>0</v>
      </c>
      <c r="K86" s="2"/>
      <c r="L86" s="7">
        <f t="shared" si="86"/>
        <v>-2331.2399999999998</v>
      </c>
      <c r="M86" s="2"/>
      <c r="N86" s="6">
        <f t="shared" si="87"/>
        <v>-0.90253193960511024</v>
      </c>
      <c r="O86" s="11"/>
      <c r="P86" s="7">
        <v>2573.29</v>
      </c>
      <c r="Q86" s="2"/>
      <c r="R86" s="6">
        <f t="shared" si="88"/>
        <v>0</v>
      </c>
      <c r="S86" s="2"/>
      <c r="T86" s="7">
        <v>28330</v>
      </c>
      <c r="U86" s="2"/>
      <c r="V86" s="6">
        <f t="shared" si="89"/>
        <v>0</v>
      </c>
      <c r="W86" s="2"/>
      <c r="X86" s="7">
        <f t="shared" si="90"/>
        <v>-25756.71</v>
      </c>
      <c r="Y86" s="2"/>
      <c r="Z86" s="6">
        <f t="shared" si="91"/>
        <v>-0.90916731380162374</v>
      </c>
    </row>
    <row r="87" spans="1:26" s="24" customFormat="1" hidden="1" outlineLevel="2" x14ac:dyDescent="0.25">
      <c r="A87" s="26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84"/>
        <v>0</v>
      </c>
      <c r="G87" s="2"/>
      <c r="H87" s="7">
        <v>417</v>
      </c>
      <c r="I87" s="2"/>
      <c r="J87" s="6">
        <f t="shared" si="85"/>
        <v>0</v>
      </c>
      <c r="K87" s="2"/>
      <c r="L87" s="7">
        <f t="shared" si="86"/>
        <v>-417</v>
      </c>
      <c r="M87" s="2"/>
      <c r="N87" s="6">
        <f t="shared" si="87"/>
        <v>-1</v>
      </c>
      <c r="O87" s="11"/>
      <c r="P87" s="7">
        <v>222.71</v>
      </c>
      <c r="Q87" s="2"/>
      <c r="R87" s="6">
        <f t="shared" si="88"/>
        <v>0</v>
      </c>
      <c r="S87" s="2"/>
      <c r="T87" s="7">
        <v>4170</v>
      </c>
      <c r="U87" s="2"/>
      <c r="V87" s="6">
        <f t="shared" si="89"/>
        <v>0</v>
      </c>
      <c r="W87" s="2"/>
      <c r="X87" s="7">
        <f t="shared" si="90"/>
        <v>-3947.29</v>
      </c>
      <c r="Y87" s="2"/>
      <c r="Z87" s="6">
        <f t="shared" si="91"/>
        <v>-0.94659232613908872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84"/>
        <v>0</v>
      </c>
      <c r="G88" s="2"/>
      <c r="H88" s="7"/>
      <c r="I88" s="2"/>
      <c r="J88" s="6">
        <f t="shared" si="85"/>
        <v>0</v>
      </c>
      <c r="K88" s="2"/>
      <c r="L88" s="7">
        <f t="shared" si="86"/>
        <v>0</v>
      </c>
      <c r="M88" s="2"/>
      <c r="N88" s="6">
        <f t="shared" si="87"/>
        <v>0</v>
      </c>
      <c r="O88" s="11"/>
      <c r="P88" s="7"/>
      <c r="Q88" s="2"/>
      <c r="R88" s="6">
        <f t="shared" si="88"/>
        <v>0</v>
      </c>
      <c r="S88" s="2"/>
      <c r="T88" s="7">
        <v>5000</v>
      </c>
      <c r="U88" s="2"/>
      <c r="V88" s="6">
        <f t="shared" si="89"/>
        <v>0</v>
      </c>
      <c r="W88" s="2"/>
      <c r="X88" s="7">
        <f t="shared" si="90"/>
        <v>-5000</v>
      </c>
      <c r="Y88" s="2"/>
      <c r="Z88" s="6">
        <f t="shared" si="91"/>
        <v>-1</v>
      </c>
    </row>
    <row r="89" spans="1:26" s="25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SUM(OSRRefD22_17x_0)</f>
        <v>1137.29</v>
      </c>
      <c r="E89" s="1"/>
      <c r="F89" s="5">
        <f t="shared" ref="F89:F91" si="92">IF(D$12=0,0,D89/D$12)</f>
        <v>0</v>
      </c>
      <c r="G89" s="1"/>
      <c r="H89" s="1">
        <f>SUM(OSRRefH22_17x_0)</f>
        <v>1435</v>
      </c>
      <c r="I89" s="1"/>
      <c r="J89" s="5">
        <f t="shared" ref="J89:J91" si="93">IF(H$12=0,0,H89/H$12)</f>
        <v>0</v>
      </c>
      <c r="K89" s="1"/>
      <c r="L89" s="1">
        <f t="shared" ref="L89:L91" si="94">+D89-H89</f>
        <v>-297.71000000000004</v>
      </c>
      <c r="M89" s="1"/>
      <c r="N89" s="5">
        <f t="shared" ref="N89:N91" si="95">IF(H89=0,0,L89/H89)</f>
        <v>-0.20746341463414636</v>
      </c>
      <c r="O89" s="13"/>
      <c r="P89" s="1">
        <f>SUM(OSRRefP22_17x_0)</f>
        <v>20289.07</v>
      </c>
      <c r="Q89" s="1"/>
      <c r="R89" s="5">
        <f t="shared" ref="R89:R91" si="96">IF(P$12=0,0,P89/P$12)</f>
        <v>0</v>
      </c>
      <c r="S89" s="1"/>
      <c r="T89" s="1">
        <f>SUM(OSRRefT22_17x_0)</f>
        <v>16600</v>
      </c>
      <c r="U89" s="1"/>
      <c r="V89" s="5">
        <f t="shared" ref="V89:V91" si="97">IF(T$12=0,0,T89/T$12)</f>
        <v>0</v>
      </c>
      <c r="W89" s="1"/>
      <c r="X89" s="1">
        <f t="shared" ref="X89:X91" si="98">+P89-T89</f>
        <v>3689.0699999999997</v>
      </c>
      <c r="Y89" s="1"/>
      <c r="Z89" s="5">
        <f t="shared" ref="Z89:Z91" si="99">IF(T89=0,0,X89/T89)</f>
        <v>0.22223313253012048</v>
      </c>
    </row>
    <row r="90" spans="1:26" s="24" customFormat="1" hidden="1" outlineLevel="2" x14ac:dyDescent="0.25">
      <c r="A90" s="26"/>
      <c r="B90" s="11" t="str">
        <f>CONCATENATE("          ", "6303", " - ", "DATA PHONE LINES")</f>
        <v xml:space="preserve">          6303 - DATA PHONE LINES</v>
      </c>
      <c r="C90" s="11"/>
      <c r="D90" s="7">
        <v>161.97999999999999</v>
      </c>
      <c r="E90" s="2"/>
      <c r="F90" s="6">
        <f t="shared" si="92"/>
        <v>0</v>
      </c>
      <c r="G90" s="2"/>
      <c r="H90" s="7">
        <v>335</v>
      </c>
      <c r="I90" s="2"/>
      <c r="J90" s="6">
        <f t="shared" si="93"/>
        <v>0</v>
      </c>
      <c r="K90" s="2"/>
      <c r="L90" s="7">
        <f t="shared" si="94"/>
        <v>-173.02</v>
      </c>
      <c r="M90" s="2"/>
      <c r="N90" s="6">
        <f t="shared" si="95"/>
        <v>-0.51647761194029851</v>
      </c>
      <c r="O90" s="11"/>
      <c r="P90" s="7">
        <v>1403.82</v>
      </c>
      <c r="Q90" s="2"/>
      <c r="R90" s="6">
        <f t="shared" si="96"/>
        <v>0</v>
      </c>
      <c r="S90" s="2"/>
      <c r="T90" s="7">
        <v>5150</v>
      </c>
      <c r="U90" s="2"/>
      <c r="V90" s="6">
        <f t="shared" si="97"/>
        <v>0</v>
      </c>
      <c r="W90" s="2"/>
      <c r="X90" s="7">
        <f t="shared" si="98"/>
        <v>-3746.1800000000003</v>
      </c>
      <c r="Y90" s="2"/>
      <c r="Z90" s="6">
        <f t="shared" si="99"/>
        <v>-0.72741359223300972</v>
      </c>
    </row>
    <row r="91" spans="1:26" s="24" customFormat="1" hidden="1" outlineLevel="2" x14ac:dyDescent="0.25">
      <c r="A91" s="26"/>
      <c r="B91" s="11" t="str">
        <f>CONCATENATE("          ", "6309", " - ", "TELEPHONE")</f>
        <v xml:space="preserve">          6309 - TELEPHONE</v>
      </c>
      <c r="C91" s="11"/>
      <c r="D91" s="7">
        <v>975.31</v>
      </c>
      <c r="E91" s="2"/>
      <c r="F91" s="6">
        <f t="shared" si="92"/>
        <v>0</v>
      </c>
      <c r="G91" s="2"/>
      <c r="H91" s="7">
        <v>1100</v>
      </c>
      <c r="I91" s="2"/>
      <c r="J91" s="6">
        <f t="shared" si="93"/>
        <v>0</v>
      </c>
      <c r="K91" s="2"/>
      <c r="L91" s="7">
        <f t="shared" si="94"/>
        <v>-124.69000000000005</v>
      </c>
      <c r="M91" s="2"/>
      <c r="N91" s="6">
        <f t="shared" si="95"/>
        <v>-0.1133545454545455</v>
      </c>
      <c r="O91" s="11"/>
      <c r="P91" s="7">
        <v>18885.25</v>
      </c>
      <c r="Q91" s="2"/>
      <c r="R91" s="6">
        <f t="shared" si="96"/>
        <v>0</v>
      </c>
      <c r="S91" s="2"/>
      <c r="T91" s="7">
        <v>11450</v>
      </c>
      <c r="U91" s="2"/>
      <c r="V91" s="6">
        <f t="shared" si="97"/>
        <v>0</v>
      </c>
      <c r="W91" s="2"/>
      <c r="X91" s="7">
        <f t="shared" si="98"/>
        <v>7435.25</v>
      </c>
      <c r="Y91" s="2"/>
      <c r="Z91" s="6">
        <f t="shared" si="99"/>
        <v>0.64936681222707426</v>
      </c>
    </row>
    <row r="92" spans="1:26" s="25" customFormat="1" outlineLevel="1" collapsed="1" x14ac:dyDescent="0.25">
      <c r="A92" s="27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SUM(OSRRefD22_18x_0)</f>
        <v>3000</v>
      </c>
      <c r="E92" s="1"/>
      <c r="F92" s="5">
        <f t="shared" ref="F92:F96" si="100">IF(D$12=0,0,D92/D$12)</f>
        <v>0</v>
      </c>
      <c r="G92" s="1"/>
      <c r="H92" s="1">
        <f>SUM(OSRRefH22_18x_0)</f>
        <v>1696</v>
      </c>
      <c r="I92" s="1"/>
      <c r="J92" s="5">
        <f t="shared" ref="J92:J96" si="101">IF(H$12=0,0,H92/H$12)</f>
        <v>0</v>
      </c>
      <c r="K92" s="1"/>
      <c r="L92" s="1">
        <f t="shared" ref="L92:L96" si="102">+D92-H92</f>
        <v>1304</v>
      </c>
      <c r="M92" s="1"/>
      <c r="N92" s="5">
        <f t="shared" ref="N92:N96" si="103">IF(H92=0,0,L92/H92)</f>
        <v>0.76886792452830188</v>
      </c>
      <c r="O92" s="13"/>
      <c r="P92" s="1">
        <f>SUM(OSRRefP22_18x_0)</f>
        <v>5225.5</v>
      </c>
      <c r="Q92" s="1"/>
      <c r="R92" s="5">
        <f t="shared" ref="R92:R96" si="104">IF(P$12=0,0,P92/P$12)</f>
        <v>0</v>
      </c>
      <c r="S92" s="1"/>
      <c r="T92" s="1">
        <f>SUM(OSRRefT22_18x_0)</f>
        <v>19110</v>
      </c>
      <c r="U92" s="1"/>
      <c r="V92" s="5">
        <f t="shared" ref="V92:V96" si="105">IF(T$12=0,0,T92/T$12)</f>
        <v>0</v>
      </c>
      <c r="W92" s="1"/>
      <c r="X92" s="1">
        <f t="shared" ref="X92:X96" si="106">+P92-T92</f>
        <v>-13884.5</v>
      </c>
      <c r="Y92" s="1"/>
      <c r="Z92" s="5">
        <f t="shared" ref="Z92:Z96" si="107">IF(T92=0,0,X92/T92)</f>
        <v>-0.72655677655677653</v>
      </c>
    </row>
    <row r="93" spans="1:26" s="24" customFormat="1" hidden="1" outlineLevel="2" x14ac:dyDescent="0.25">
      <c r="A93" s="26"/>
      <c r="B93" s="11" t="str">
        <f>CONCATENATE("          ", "6376", " - ", "TRAINING")</f>
        <v xml:space="preserve">          6376 - TRAINING</v>
      </c>
      <c r="C93" s="11"/>
      <c r="D93" s="7">
        <v>3000</v>
      </c>
      <c r="E93" s="2"/>
      <c r="F93" s="6">
        <f t="shared" si="100"/>
        <v>0</v>
      </c>
      <c r="G93" s="2"/>
      <c r="H93" s="7">
        <v>1696</v>
      </c>
      <c r="I93" s="2"/>
      <c r="J93" s="6">
        <f t="shared" si="101"/>
        <v>0</v>
      </c>
      <c r="K93" s="2"/>
      <c r="L93" s="7">
        <f t="shared" si="102"/>
        <v>1304</v>
      </c>
      <c r="M93" s="2"/>
      <c r="N93" s="6">
        <f t="shared" si="103"/>
        <v>0.76886792452830188</v>
      </c>
      <c r="O93" s="11"/>
      <c r="P93" s="7">
        <v>5225.5</v>
      </c>
      <c r="Q93" s="2"/>
      <c r="R93" s="6">
        <f t="shared" si="104"/>
        <v>0</v>
      </c>
      <c r="S93" s="2"/>
      <c r="T93" s="7">
        <v>19110</v>
      </c>
      <c r="U93" s="2"/>
      <c r="V93" s="6">
        <f t="shared" si="105"/>
        <v>0</v>
      </c>
      <c r="W93" s="2"/>
      <c r="X93" s="7">
        <f t="shared" si="106"/>
        <v>-13884.5</v>
      </c>
      <c r="Y93" s="2"/>
      <c r="Z93" s="6">
        <f t="shared" si="107"/>
        <v>-0.72655677655677653</v>
      </c>
    </row>
    <row r="94" spans="1:26" s="25" customFormat="1" outlineLevel="1" collapsed="1" x14ac:dyDescent="0.25">
      <c r="A94" s="27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SUM(OSRRefD22_19x_0)</f>
        <v>13.3</v>
      </c>
      <c r="E94" s="1"/>
      <c r="F94" s="5">
        <f t="shared" si="100"/>
        <v>0</v>
      </c>
      <c r="G94" s="1"/>
      <c r="H94" s="1">
        <f>SUM(OSRRefH22_19x_0)</f>
        <v>2625</v>
      </c>
      <c r="I94" s="1"/>
      <c r="J94" s="5">
        <f t="shared" si="101"/>
        <v>0</v>
      </c>
      <c r="K94" s="1"/>
      <c r="L94" s="1">
        <f t="shared" si="102"/>
        <v>-2611.6999999999998</v>
      </c>
      <c r="M94" s="1"/>
      <c r="N94" s="5">
        <f t="shared" si="103"/>
        <v>-0.99493333333333323</v>
      </c>
      <c r="O94" s="13"/>
      <c r="P94" s="1">
        <f>SUM(OSRRefP22_19x_0)</f>
        <v>808.72</v>
      </c>
      <c r="Q94" s="1"/>
      <c r="R94" s="5">
        <f t="shared" si="104"/>
        <v>0</v>
      </c>
      <c r="S94" s="1"/>
      <c r="T94" s="1">
        <f>SUM(OSRRefT22_19x_0)</f>
        <v>9850</v>
      </c>
      <c r="U94" s="1"/>
      <c r="V94" s="5">
        <f t="shared" si="105"/>
        <v>0</v>
      </c>
      <c r="W94" s="1"/>
      <c r="X94" s="1">
        <f t="shared" si="106"/>
        <v>-9041.2800000000007</v>
      </c>
      <c r="Y94" s="1"/>
      <c r="Z94" s="5">
        <f t="shared" si="107"/>
        <v>-0.91789644670050763</v>
      </c>
    </row>
    <row r="95" spans="1:26" s="24" customFormat="1" hidden="1" outlineLevel="2" x14ac:dyDescent="0.25">
      <c r="A95" s="26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100"/>
        <v>0</v>
      </c>
      <c r="G95" s="2"/>
      <c r="H95" s="7">
        <v>625</v>
      </c>
      <c r="I95" s="2"/>
      <c r="J95" s="6">
        <f t="shared" si="101"/>
        <v>0</v>
      </c>
      <c r="K95" s="2"/>
      <c r="L95" s="7">
        <f t="shared" si="102"/>
        <v>-625</v>
      </c>
      <c r="M95" s="2"/>
      <c r="N95" s="6">
        <f t="shared" si="103"/>
        <v>-1</v>
      </c>
      <c r="O95" s="11"/>
      <c r="P95" s="7">
        <v>720</v>
      </c>
      <c r="Q95" s="2"/>
      <c r="R95" s="6">
        <f t="shared" si="104"/>
        <v>0</v>
      </c>
      <c r="S95" s="2"/>
      <c r="T95" s="7">
        <v>6250</v>
      </c>
      <c r="U95" s="2"/>
      <c r="V95" s="6">
        <f t="shared" si="105"/>
        <v>0</v>
      </c>
      <c r="W95" s="2"/>
      <c r="X95" s="7">
        <f t="shared" si="106"/>
        <v>-5530</v>
      </c>
      <c r="Y95" s="2"/>
      <c r="Z95" s="6">
        <f t="shared" si="107"/>
        <v>-0.88480000000000003</v>
      </c>
    </row>
    <row r="96" spans="1:26" s="24" customFormat="1" hidden="1" outlineLevel="2" x14ac:dyDescent="0.25">
      <c r="A96" s="26"/>
      <c r="B96" s="11" t="str">
        <f>CONCATENATE("          ", "6294", " - ", "TRAVEL OPERATIONAL")</f>
        <v xml:space="preserve">          6294 - TRAVEL OPERATIONAL</v>
      </c>
      <c r="C96" s="11"/>
      <c r="D96" s="7">
        <v>13.3</v>
      </c>
      <c r="E96" s="2"/>
      <c r="F96" s="6">
        <f t="shared" si="100"/>
        <v>0</v>
      </c>
      <c r="G96" s="2"/>
      <c r="H96" s="7">
        <v>2000</v>
      </c>
      <c r="I96" s="2"/>
      <c r="J96" s="6">
        <f t="shared" si="101"/>
        <v>0</v>
      </c>
      <c r="K96" s="2"/>
      <c r="L96" s="7">
        <f t="shared" si="102"/>
        <v>-1986.7</v>
      </c>
      <c r="M96" s="2"/>
      <c r="N96" s="6">
        <f t="shared" si="103"/>
        <v>-0.99335000000000007</v>
      </c>
      <c r="O96" s="11"/>
      <c r="P96" s="7">
        <v>88.72</v>
      </c>
      <c r="Q96" s="2"/>
      <c r="R96" s="6">
        <f t="shared" si="104"/>
        <v>0</v>
      </c>
      <c r="S96" s="2"/>
      <c r="T96" s="7">
        <v>3600</v>
      </c>
      <c r="U96" s="2"/>
      <c r="V96" s="6">
        <f t="shared" si="105"/>
        <v>0</v>
      </c>
      <c r="W96" s="2"/>
      <c r="X96" s="7">
        <f t="shared" si="106"/>
        <v>-3511.28</v>
      </c>
      <c r="Y96" s="2"/>
      <c r="Z96" s="6">
        <f t="shared" si="107"/>
        <v>-0.97535555555555564</v>
      </c>
    </row>
    <row r="97" spans="1:26" s="61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9" t="s">
        <v>293</v>
      </c>
      <c r="C98" s="10"/>
      <c r="D98" s="4">
        <f>SUM(OSRRefD25x_0)</f>
        <v>0</v>
      </c>
      <c r="E98" s="4"/>
      <c r="F98" s="12">
        <f t="shared" ref="F98:F101" si="108">IF(D$12=0,0,D98/D$12)</f>
        <v>0</v>
      </c>
      <c r="G98" s="4"/>
      <c r="H98" s="4">
        <f>SUM(OSRRefH25x_0)</f>
        <v>0</v>
      </c>
      <c r="I98" s="4"/>
      <c r="J98" s="12">
        <f t="shared" ref="J98:J101" si="109">IF(H$12=0,0,H98/H$12)</f>
        <v>0</v>
      </c>
      <c r="K98" s="4"/>
      <c r="L98" s="4">
        <f t="shared" ref="L98:L101" si="110">+D98-H98</f>
        <v>0</v>
      </c>
      <c r="M98" s="4"/>
      <c r="N98" s="12">
        <f t="shared" ref="N98:N101" si="111">IF(H98=0,0,L98/H98)</f>
        <v>0</v>
      </c>
      <c r="O98" s="10"/>
      <c r="P98" s="4">
        <f>SUM(OSRRefP25x_0)</f>
        <v>0</v>
      </c>
      <c r="Q98" s="4"/>
      <c r="R98" s="12">
        <f t="shared" ref="R98:R101" si="112">IF(P$12=0,0,P98/P$12)</f>
        <v>0</v>
      </c>
      <c r="S98" s="4"/>
      <c r="T98" s="4">
        <f>SUM(OSRRefT25x_0)</f>
        <v>0</v>
      </c>
      <c r="U98" s="4"/>
      <c r="V98" s="12">
        <f t="shared" ref="V98:V101" si="113">IF(T$12=0,0,T98/T$12)</f>
        <v>0</v>
      </c>
      <c r="W98" s="4"/>
      <c r="X98" s="4">
        <f t="shared" ref="X98:X101" si="114">+P98-T98</f>
        <v>0</v>
      </c>
      <c r="Y98" s="4"/>
      <c r="Z98" s="12">
        <f t="shared" ref="Z98:Z101" si="115">IF(T98=0,0,X98/T98)</f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 t="shared" ref="D99:D101" si="116">0</f>
        <v>0</v>
      </c>
      <c r="E99" s="2"/>
      <c r="F99" s="19">
        <f t="shared" si="108"/>
        <v>0</v>
      </c>
      <c r="G99" s="2"/>
      <c r="H99" s="2"/>
      <c r="I99" s="2"/>
      <c r="J99" s="19">
        <f t="shared" si="109"/>
        <v>0</v>
      </c>
      <c r="K99" s="2"/>
      <c r="L99" s="2">
        <f t="shared" si="110"/>
        <v>0</v>
      </c>
      <c r="M99" s="2"/>
      <c r="N99" s="19">
        <f t="shared" si="111"/>
        <v>0</v>
      </c>
      <c r="O99" s="11"/>
      <c r="P99" s="2">
        <f t="shared" ref="P99:P101" si="117">0</f>
        <v>0</v>
      </c>
      <c r="Q99" s="2"/>
      <c r="R99" s="19">
        <f t="shared" si="112"/>
        <v>0</v>
      </c>
      <c r="S99" s="2"/>
      <c r="T99" s="2">
        <v>0</v>
      </c>
      <c r="U99" s="2"/>
      <c r="V99" s="19">
        <f t="shared" si="113"/>
        <v>0</v>
      </c>
      <c r="W99" s="2"/>
      <c r="X99" s="2">
        <f t="shared" si="114"/>
        <v>0</v>
      </c>
      <c r="Y99" s="2"/>
      <c r="Z99" s="19">
        <f t="shared" si="115"/>
        <v>0</v>
      </c>
    </row>
    <row r="100" spans="1:26" s="24" customFormat="1" hidden="1" outlineLevel="1" x14ac:dyDescent="0.25">
      <c r="A100" s="44"/>
      <c r="B100" s="11" t="str">
        <f>CONCATENATE("          ", "9151", " - ", "MISC. INCOME")</f>
        <v xml:space="preserve">          9151 - MISC. INCOME</v>
      </c>
      <c r="C100" s="11"/>
      <c r="D100" s="2">
        <f t="shared" si="116"/>
        <v>0</v>
      </c>
      <c r="E100" s="2"/>
      <c r="F100" s="19">
        <f t="shared" si="108"/>
        <v>0</v>
      </c>
      <c r="G100" s="2"/>
      <c r="H100" s="2"/>
      <c r="I100" s="2"/>
      <c r="J100" s="19">
        <f t="shared" si="109"/>
        <v>0</v>
      </c>
      <c r="K100" s="2"/>
      <c r="L100" s="2">
        <f t="shared" si="110"/>
        <v>0</v>
      </c>
      <c r="M100" s="2"/>
      <c r="N100" s="19">
        <f t="shared" si="111"/>
        <v>0</v>
      </c>
      <c r="O100" s="11"/>
      <c r="P100" s="2">
        <f t="shared" si="117"/>
        <v>0</v>
      </c>
      <c r="Q100" s="2"/>
      <c r="R100" s="19">
        <f t="shared" si="112"/>
        <v>0</v>
      </c>
      <c r="S100" s="2"/>
      <c r="T100" s="2">
        <v>0</v>
      </c>
      <c r="U100" s="2"/>
      <c r="V100" s="19">
        <f t="shared" si="113"/>
        <v>0</v>
      </c>
      <c r="W100" s="2"/>
      <c r="X100" s="2">
        <f t="shared" si="114"/>
        <v>0</v>
      </c>
      <c r="Y100" s="2"/>
      <c r="Z100" s="19">
        <f t="shared" si="115"/>
        <v>0</v>
      </c>
    </row>
    <row r="101" spans="1:26" s="24" customFormat="1" hidden="1" outlineLevel="1" x14ac:dyDescent="0.25">
      <c r="A101" s="44"/>
      <c r="B101" s="11" t="str">
        <f>CONCATENATE("          ", "9160", " - ", "MISC. INCOME")</f>
        <v xml:space="preserve">          9160 - MISC. INCOME</v>
      </c>
      <c r="C101" s="11"/>
      <c r="D101" s="2">
        <f t="shared" si="116"/>
        <v>0</v>
      </c>
      <c r="E101" s="2"/>
      <c r="F101" s="19">
        <f t="shared" si="108"/>
        <v>0</v>
      </c>
      <c r="G101" s="2"/>
      <c r="H101" s="2"/>
      <c r="I101" s="2"/>
      <c r="J101" s="19">
        <f t="shared" si="109"/>
        <v>0</v>
      </c>
      <c r="K101" s="2"/>
      <c r="L101" s="2">
        <f t="shared" si="110"/>
        <v>0</v>
      </c>
      <c r="M101" s="2"/>
      <c r="N101" s="19">
        <f t="shared" si="111"/>
        <v>0</v>
      </c>
      <c r="O101" s="11"/>
      <c r="P101" s="2">
        <f t="shared" si="117"/>
        <v>0</v>
      </c>
      <c r="Q101" s="2"/>
      <c r="R101" s="19">
        <f t="shared" si="112"/>
        <v>0</v>
      </c>
      <c r="S101" s="2"/>
      <c r="T101" s="2">
        <v>0</v>
      </c>
      <c r="U101" s="2"/>
      <c r="V101" s="19">
        <f t="shared" si="113"/>
        <v>0</v>
      </c>
      <c r="W101" s="2"/>
      <c r="X101" s="2">
        <f t="shared" si="114"/>
        <v>0</v>
      </c>
      <c r="Y101" s="2"/>
      <c r="Z101" s="19">
        <f t="shared" si="115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277</v>
      </c>
      <c r="C103" s="28"/>
      <c r="D103" s="21">
        <f>+D17-D19+D98</f>
        <v>-242086.47999999998</v>
      </c>
      <c r="E103" s="14"/>
      <c r="F103" s="20">
        <f>IF(D$12=0,0,D103/D$12)</f>
        <v>0</v>
      </c>
      <c r="G103" s="14"/>
      <c r="H103" s="21">
        <f>+H17-H19+H98</f>
        <v>-309806.03915769234</v>
      </c>
      <c r="I103" s="14"/>
      <c r="J103" s="20">
        <f>IF(H$12=0,0,H103/H$12)</f>
        <v>0</v>
      </c>
      <c r="K103" s="16"/>
      <c r="L103" s="21">
        <f>+D103-H103</f>
        <v>67719.559157692362</v>
      </c>
      <c r="M103" s="16"/>
      <c r="N103" s="20">
        <f>IF(H103=0,0,L103/H103)</f>
        <v>-0.21858695634794539</v>
      </c>
      <c r="O103" s="29"/>
      <c r="P103" s="21">
        <f>+P17-P19+P98</f>
        <v>-1883636.8299999998</v>
      </c>
      <c r="Q103" s="14"/>
      <c r="R103" s="20">
        <f>IF(P$12=0,0,P103/P$12)</f>
        <v>0</v>
      </c>
      <c r="S103" s="14"/>
      <c r="T103" s="21">
        <f>+T17-T19+T98</f>
        <v>-2743850.1591446162</v>
      </c>
      <c r="U103" s="14"/>
      <c r="V103" s="20">
        <f>IF(T$12=0,0,T103/T$12)</f>
        <v>0</v>
      </c>
      <c r="W103" s="16"/>
      <c r="X103" s="21">
        <f>+P103-T103</f>
        <v>860213.32914461638</v>
      </c>
      <c r="Y103" s="16"/>
      <c r="Z103" s="20">
        <f>IF(T103=0,0,X103/T103)</f>
        <v>-0.31350594210756183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128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126</v>
      </c>
      <c r="C107" s="28"/>
      <c r="D107" s="31">
        <f>+D103-D105</f>
        <v>-242086.47999999998</v>
      </c>
      <c r="E107" s="14"/>
      <c r="F107" s="33">
        <f>IF(D$12=0,0,D107/D$12)</f>
        <v>0</v>
      </c>
      <c r="G107" s="14"/>
      <c r="H107" s="31">
        <f>+H103-H105</f>
        <v>-309806.03915769234</v>
      </c>
      <c r="I107" s="14"/>
      <c r="J107" s="33">
        <f>IF(H$12=0,0,H107/H$12)</f>
        <v>0</v>
      </c>
      <c r="K107" s="16"/>
      <c r="L107" s="31">
        <f>D107-H107</f>
        <v>67719.559157692362</v>
      </c>
      <c r="M107" s="16"/>
      <c r="N107" s="33">
        <f>IF(H107=0,0,L107/H107)</f>
        <v>-0.21858695634794539</v>
      </c>
      <c r="O107" s="29"/>
      <c r="P107" s="31">
        <f>+P103-P105</f>
        <v>-1883636.8299999998</v>
      </c>
      <c r="Q107" s="14"/>
      <c r="R107" s="33">
        <f>IF(P$12=0,0,P107/P$12)</f>
        <v>0</v>
      </c>
      <c r="S107" s="14"/>
      <c r="T107" s="31">
        <f>+T103-T105</f>
        <v>-2743850.1591446162</v>
      </c>
      <c r="U107" s="14"/>
      <c r="V107" s="33">
        <f>IF(T$12=0,0,T107/T$12)</f>
        <v>0</v>
      </c>
      <c r="W107" s="16"/>
      <c r="X107" s="31">
        <f>P107-T107</f>
        <v>860213.32914461638</v>
      </c>
      <c r="Y107" s="16"/>
      <c r="Z107" s="33">
        <f>IF(T107=0,0,X107/T107)</f>
        <v>-0.31350594210756183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294</v>
      </c>
      <c r="C110" s="28"/>
      <c r="D110" s="34">
        <f>SUM(D107:D109)</f>
        <v>-242086.47999999998</v>
      </c>
      <c r="E110" s="14"/>
      <c r="F110" s="35">
        <f>IF(D$12=0,0,D110/D$12)</f>
        <v>0</v>
      </c>
      <c r="G110" s="14"/>
      <c r="H110" s="34">
        <f>SUM(H107:H109)</f>
        <v>-309806.03915769234</v>
      </c>
      <c r="I110" s="14"/>
      <c r="J110" s="35">
        <f>IF(H$12=0,0,H110/H$12)</f>
        <v>0</v>
      </c>
      <c r="K110" s="16"/>
      <c r="L110" s="34">
        <f>+D110-H110</f>
        <v>67719.559157692362</v>
      </c>
      <c r="M110" s="16"/>
      <c r="N110" s="35">
        <f>IF(H110=0,0,L110/H110)</f>
        <v>-0.21858695634794539</v>
      </c>
      <c r="O110" s="29"/>
      <c r="P110" s="34">
        <f>SUM(P107:P109)</f>
        <v>-1883636.8299999998</v>
      </c>
      <c r="Q110" s="14"/>
      <c r="R110" s="35">
        <f>IF(P$12=0,0,P110/P$12)</f>
        <v>0</v>
      </c>
      <c r="S110" s="14"/>
      <c r="T110" s="34">
        <f>SUM(T107:T109)</f>
        <v>-2743850.1591446162</v>
      </c>
      <c r="U110" s="14"/>
      <c r="V110" s="35">
        <f>IF(T$12=0,0,T110/T$12)</f>
        <v>0</v>
      </c>
      <c r="W110" s="16"/>
      <c r="X110" s="34">
        <f>+P110-T110</f>
        <v>860213.32914461638</v>
      </c>
      <c r="Y110" s="16"/>
      <c r="Z110" s="35">
        <f>IF(T110=0,0,X110/T110)</f>
        <v>-0.31350594210756183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2">
        <v>44330.005792129632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6" t="s">
        <v>56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5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43971.69</v>
      </c>
      <c r="E18" s="22"/>
      <c r="F18" s="32">
        <f t="shared" ref="F18:F29" si="0">IF(D$12=0,0,D18/D$12)</f>
        <v>0</v>
      </c>
      <c r="G18" s="22"/>
      <c r="H18" s="22">
        <f>SUM(OSRRefH22x_0)</f>
        <v>62937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-18965.309999999998</v>
      </c>
      <c r="M18" s="4"/>
      <c r="N18" s="32">
        <f t="shared" ref="N18:N29" si="3">IF(H18=0,0,L18/H18)</f>
        <v>-0.30133800467133798</v>
      </c>
      <c r="O18" s="10"/>
      <c r="P18" s="22">
        <f>SUM(OSRRefP22x_0)</f>
        <v>-38105.579999999987</v>
      </c>
      <c r="Q18" s="22"/>
      <c r="R18" s="32">
        <f t="shared" ref="R18:R29" si="4">IF(P$12=0,0,P18/P$12)</f>
        <v>0</v>
      </c>
      <c r="S18" s="22"/>
      <c r="T18" s="22">
        <f>SUM(OSRRefT22x_0)</f>
        <v>517270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-555375.57999999996</v>
      </c>
      <c r="Y18" s="4"/>
      <c r="Z18" s="32">
        <f t="shared" ref="Z18:Z29" si="7">IF(T18=0,0,X18/T18)</f>
        <v>-1.0736667117752816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28198.66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-3801.34</v>
      </c>
      <c r="M19" s="1"/>
      <c r="N19" s="5">
        <f t="shared" si="3"/>
        <v>-0.11879187500000001</v>
      </c>
      <c r="O19" s="13"/>
      <c r="P19" s="1">
        <f>SUM(OSRRefP22_0x_0)</f>
        <v>-104818.56</v>
      </c>
      <c r="Q19" s="1"/>
      <c r="R19" s="5">
        <f t="shared" si="4"/>
        <v>0</v>
      </c>
      <c r="S19" s="1"/>
      <c r="T19" s="1">
        <f>SUM(OSRRefT22_0x_0)</f>
        <v>320000</v>
      </c>
      <c r="U19" s="1"/>
      <c r="V19" s="5">
        <f t="shared" si="5"/>
        <v>0</v>
      </c>
      <c r="W19" s="1"/>
      <c r="X19" s="1">
        <f t="shared" si="6"/>
        <v>-424818.56</v>
      </c>
      <c r="Y19" s="1"/>
      <c r="Z19" s="5">
        <f t="shared" si="7"/>
        <v>-1.327558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7">
        <v>28198.66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-3801.34</v>
      </c>
      <c r="M20" s="2"/>
      <c r="N20" s="6">
        <f t="shared" si="3"/>
        <v>-0.11879187500000001</v>
      </c>
      <c r="O20" s="11"/>
      <c r="P20" s="7">
        <v>-104818.56</v>
      </c>
      <c r="Q20" s="2"/>
      <c r="R20" s="6">
        <f t="shared" si="4"/>
        <v>0</v>
      </c>
      <c r="S20" s="2"/>
      <c r="T20" s="7">
        <v>320000</v>
      </c>
      <c r="U20" s="2"/>
      <c r="V20" s="6">
        <f t="shared" si="5"/>
        <v>0</v>
      </c>
      <c r="W20" s="2"/>
      <c r="X20" s="7">
        <f t="shared" si="6"/>
        <v>-424818.56</v>
      </c>
      <c r="Y20" s="2"/>
      <c r="Z20" s="6">
        <f t="shared" si="7"/>
        <v>-1.327558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1863.53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-13136.47</v>
      </c>
      <c r="M21" s="1"/>
      <c r="N21" s="5">
        <f t="shared" si="3"/>
        <v>-0.87576466666666664</v>
      </c>
      <c r="O21" s="13"/>
      <c r="P21" s="1">
        <f>SUM(OSRRefP22_1x_0)</f>
        <v>6989.07</v>
      </c>
      <c r="Q21" s="1"/>
      <c r="R21" s="5">
        <f t="shared" si="4"/>
        <v>0</v>
      </c>
      <c r="S21" s="1"/>
      <c r="T21" s="1">
        <f>SUM(OSRRefT22_1x_0)</f>
        <v>69000</v>
      </c>
      <c r="U21" s="1"/>
      <c r="V21" s="5">
        <f t="shared" si="5"/>
        <v>0</v>
      </c>
      <c r="W21" s="1"/>
      <c r="X21" s="1">
        <f t="shared" si="6"/>
        <v>-62010.93</v>
      </c>
      <c r="Y21" s="1"/>
      <c r="Z21" s="5">
        <f t="shared" si="7"/>
        <v>-0.89870913043478262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1863.53</v>
      </c>
      <c r="E22" s="2"/>
      <c r="F22" s="6">
        <f t="shared" si="0"/>
        <v>0</v>
      </c>
      <c r="G22" s="2"/>
      <c r="H22" s="7">
        <v>15000</v>
      </c>
      <c r="I22" s="2"/>
      <c r="J22" s="6">
        <f t="shared" si="1"/>
        <v>0</v>
      </c>
      <c r="K22" s="2"/>
      <c r="L22" s="7">
        <f t="shared" si="2"/>
        <v>-13136.47</v>
      </c>
      <c r="M22" s="2"/>
      <c r="N22" s="6">
        <f t="shared" si="3"/>
        <v>-0.87576466666666664</v>
      </c>
      <c r="O22" s="11"/>
      <c r="P22" s="7">
        <v>6989.07</v>
      </c>
      <c r="Q22" s="2"/>
      <c r="R22" s="6">
        <f t="shared" si="4"/>
        <v>0</v>
      </c>
      <c r="S22" s="2"/>
      <c r="T22" s="7">
        <v>69000</v>
      </c>
      <c r="U22" s="2"/>
      <c r="V22" s="6">
        <f t="shared" si="5"/>
        <v>0</v>
      </c>
      <c r="W22" s="2"/>
      <c r="X22" s="7">
        <f t="shared" si="6"/>
        <v>-62010.93</v>
      </c>
      <c r="Y22" s="2"/>
      <c r="Z22" s="6">
        <f t="shared" si="7"/>
        <v>-0.89870913043478262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2323.75</v>
      </c>
      <c r="E23" s="1"/>
      <c r="F23" s="5">
        <f t="shared" si="0"/>
        <v>0</v>
      </c>
      <c r="G23" s="1"/>
      <c r="H23" s="1">
        <f>SUM(OSRRefH22_2x_0)</f>
        <v>2437</v>
      </c>
      <c r="I23" s="1"/>
      <c r="J23" s="5">
        <f t="shared" si="1"/>
        <v>0</v>
      </c>
      <c r="K23" s="1"/>
      <c r="L23" s="1">
        <f t="shared" si="2"/>
        <v>-113.25</v>
      </c>
      <c r="M23" s="1"/>
      <c r="N23" s="5">
        <f t="shared" si="3"/>
        <v>-4.6471070988920803E-2</v>
      </c>
      <c r="O23" s="13"/>
      <c r="P23" s="1">
        <f>SUM(OSRRefP22_2x_0)</f>
        <v>13155.91</v>
      </c>
      <c r="Q23" s="1"/>
      <c r="R23" s="5">
        <f t="shared" si="4"/>
        <v>0</v>
      </c>
      <c r="S23" s="1"/>
      <c r="T23" s="1">
        <f>SUM(OSRRefT22_2x_0)</f>
        <v>41270</v>
      </c>
      <c r="U23" s="1"/>
      <c r="V23" s="5">
        <f t="shared" si="5"/>
        <v>0</v>
      </c>
      <c r="W23" s="1"/>
      <c r="X23" s="1">
        <f t="shared" si="6"/>
        <v>-28114.09</v>
      </c>
      <c r="Y23" s="1"/>
      <c r="Z23" s="5">
        <f t="shared" si="7"/>
        <v>-0.6812234068330506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7">
        <v>2323.75</v>
      </c>
      <c r="E24" s="2"/>
      <c r="F24" s="6">
        <f t="shared" si="0"/>
        <v>0</v>
      </c>
      <c r="G24" s="2"/>
      <c r="H24" s="7">
        <v>2437</v>
      </c>
      <c r="I24" s="2"/>
      <c r="J24" s="6">
        <f t="shared" si="1"/>
        <v>0</v>
      </c>
      <c r="K24" s="2"/>
      <c r="L24" s="7">
        <f t="shared" si="2"/>
        <v>-113.25</v>
      </c>
      <c r="M24" s="2"/>
      <c r="N24" s="6">
        <f t="shared" si="3"/>
        <v>-4.6471070988920803E-2</v>
      </c>
      <c r="O24" s="11"/>
      <c r="P24" s="7">
        <v>13155.91</v>
      </c>
      <c r="Q24" s="2"/>
      <c r="R24" s="6">
        <f t="shared" si="4"/>
        <v>0</v>
      </c>
      <c r="S24" s="2"/>
      <c r="T24" s="7">
        <v>41270</v>
      </c>
      <c r="U24" s="2"/>
      <c r="V24" s="6">
        <f t="shared" si="5"/>
        <v>0</v>
      </c>
      <c r="W24" s="2"/>
      <c r="X24" s="7">
        <f t="shared" si="6"/>
        <v>-28114.09</v>
      </c>
      <c r="Y24" s="2"/>
      <c r="Z24" s="6">
        <f t="shared" si="7"/>
        <v>-0.6812234068330506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5000</v>
      </c>
      <c r="U25" s="1"/>
      <c r="V25" s="5">
        <f t="shared" si="5"/>
        <v>0</v>
      </c>
      <c r="W25" s="1"/>
      <c r="X25" s="1">
        <f t="shared" si="6"/>
        <v>-5000</v>
      </c>
      <c r="Y25" s="1"/>
      <c r="Z25" s="5">
        <f t="shared" si="7"/>
        <v>-1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5000</v>
      </c>
      <c r="U26" s="2"/>
      <c r="V26" s="6">
        <f t="shared" si="5"/>
        <v>0</v>
      </c>
      <c r="W26" s="2"/>
      <c r="X26" s="7">
        <f t="shared" si="6"/>
        <v>-5000</v>
      </c>
      <c r="Y26" s="2"/>
      <c r="Z26" s="6">
        <f t="shared" si="7"/>
        <v>-1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11585.75</v>
      </c>
      <c r="E27" s="1"/>
      <c r="F27" s="5">
        <f t="shared" si="0"/>
        <v>0</v>
      </c>
      <c r="G27" s="1"/>
      <c r="H27" s="1">
        <f>SUM(OSRRefH22_4x_0)</f>
        <v>13500</v>
      </c>
      <c r="I27" s="1"/>
      <c r="J27" s="5">
        <f t="shared" si="1"/>
        <v>0</v>
      </c>
      <c r="K27" s="1"/>
      <c r="L27" s="1">
        <f t="shared" si="2"/>
        <v>-1914.25</v>
      </c>
      <c r="M27" s="1"/>
      <c r="N27" s="5">
        <f t="shared" si="3"/>
        <v>-0.14179629629629631</v>
      </c>
      <c r="O27" s="13"/>
      <c r="P27" s="1">
        <f>SUM(OSRRefP22_4x_0)</f>
        <v>46568</v>
      </c>
      <c r="Q27" s="1"/>
      <c r="R27" s="5">
        <f t="shared" si="4"/>
        <v>0</v>
      </c>
      <c r="S27" s="1"/>
      <c r="T27" s="1">
        <f>SUM(OSRRefT22_4x_0)</f>
        <v>82000</v>
      </c>
      <c r="U27" s="1"/>
      <c r="V27" s="5">
        <f t="shared" si="5"/>
        <v>0</v>
      </c>
      <c r="W27" s="1"/>
      <c r="X27" s="1">
        <f t="shared" si="6"/>
        <v>-35432</v>
      </c>
      <c r="Y27" s="1"/>
      <c r="Z27" s="5">
        <f t="shared" si="7"/>
        <v>-0.43209756097560975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7">
        <v>11585.75</v>
      </c>
      <c r="E28" s="2"/>
      <c r="F28" s="6">
        <f t="shared" si="0"/>
        <v>0</v>
      </c>
      <c r="G28" s="2"/>
      <c r="H28" s="7">
        <v>13500</v>
      </c>
      <c r="I28" s="2"/>
      <c r="J28" s="6">
        <f t="shared" si="1"/>
        <v>0</v>
      </c>
      <c r="K28" s="2"/>
      <c r="L28" s="7">
        <f t="shared" si="2"/>
        <v>-1914.25</v>
      </c>
      <c r="M28" s="2"/>
      <c r="N28" s="6">
        <f t="shared" si="3"/>
        <v>-0.14179629629629631</v>
      </c>
      <c r="O28" s="11"/>
      <c r="P28" s="7">
        <v>46568</v>
      </c>
      <c r="Q28" s="2"/>
      <c r="R28" s="6">
        <f t="shared" si="4"/>
        <v>0</v>
      </c>
      <c r="S28" s="2"/>
      <c r="T28" s="7">
        <v>54000</v>
      </c>
      <c r="U28" s="2"/>
      <c r="V28" s="6">
        <f t="shared" si="5"/>
        <v>0</v>
      </c>
      <c r="W28" s="2"/>
      <c r="X28" s="7">
        <f t="shared" si="6"/>
        <v>-7432</v>
      </c>
      <c r="Y28" s="2"/>
      <c r="Z28" s="6">
        <f t="shared" si="7"/>
        <v>-0.13762962962962963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0</v>
      </c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/>
      <c r="Q29" s="2"/>
      <c r="R29" s="6">
        <f t="shared" si="4"/>
        <v>0</v>
      </c>
      <c r="S29" s="2"/>
      <c r="T29" s="7">
        <v>28000</v>
      </c>
      <c r="U29" s="2"/>
      <c r="V29" s="6">
        <f t="shared" si="5"/>
        <v>0</v>
      </c>
      <c r="W29" s="2"/>
      <c r="X29" s="7">
        <f t="shared" si="6"/>
        <v>-28000</v>
      </c>
      <c r="Y29" s="2"/>
      <c r="Z29" s="6">
        <f t="shared" si="7"/>
        <v>-1</v>
      </c>
    </row>
    <row r="30" spans="1:26" s="61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293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277</v>
      </c>
      <c r="C33" s="28"/>
      <c r="D33" s="21">
        <f>+D16-D18+D31</f>
        <v>-43971.69</v>
      </c>
      <c r="E33" s="14"/>
      <c r="F33" s="20">
        <f>IF(D$12=0,0,D33/D$12)</f>
        <v>0</v>
      </c>
      <c r="G33" s="14"/>
      <c r="H33" s="21">
        <f>+H16-H18+H31</f>
        <v>-62937</v>
      </c>
      <c r="I33" s="14"/>
      <c r="J33" s="20">
        <f>IF(H$12=0,0,H33/H$12)</f>
        <v>0</v>
      </c>
      <c r="K33" s="16"/>
      <c r="L33" s="21">
        <f>+D33-H33</f>
        <v>18965.309999999998</v>
      </c>
      <c r="M33" s="16"/>
      <c r="N33" s="20">
        <f>IF(H33=0,0,L33/H33)</f>
        <v>-0.30133800467133798</v>
      </c>
      <c r="O33" s="29"/>
      <c r="P33" s="21">
        <f>+P16-P18+P31</f>
        <v>38105.579999999987</v>
      </c>
      <c r="Q33" s="14"/>
      <c r="R33" s="20">
        <f>IF(P$12=0,0,P33/P$12)</f>
        <v>0</v>
      </c>
      <c r="S33" s="14"/>
      <c r="T33" s="21">
        <f>+T16-T18+T31</f>
        <v>-517270</v>
      </c>
      <c r="U33" s="14"/>
      <c r="V33" s="20">
        <f>IF(T$12=0,0,T33/T$12)</f>
        <v>0</v>
      </c>
      <c r="W33" s="16"/>
      <c r="X33" s="21">
        <f>+P33-T33</f>
        <v>555375.57999999996</v>
      </c>
      <c r="Y33" s="16"/>
      <c r="Z33" s="20">
        <f>IF(T33=0,0,X33/T33)</f>
        <v>-1.0736667117752816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128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126</v>
      </c>
      <c r="C37" s="28"/>
      <c r="D37" s="31">
        <f>+D33-D35</f>
        <v>-43971.69</v>
      </c>
      <c r="E37" s="14"/>
      <c r="F37" s="33">
        <f>IF(D$12=0,0,D37/D$12)</f>
        <v>0</v>
      </c>
      <c r="G37" s="14"/>
      <c r="H37" s="31">
        <f>+H33-H35</f>
        <v>-62937</v>
      </c>
      <c r="I37" s="14"/>
      <c r="J37" s="33">
        <f>IF(H$12=0,0,H37/H$12)</f>
        <v>0</v>
      </c>
      <c r="K37" s="16"/>
      <c r="L37" s="31">
        <f>D37-H37</f>
        <v>18965.309999999998</v>
      </c>
      <c r="M37" s="16"/>
      <c r="N37" s="33">
        <f>IF(H37=0,0,L37/H37)</f>
        <v>-0.30133800467133798</v>
      </c>
      <c r="O37" s="29"/>
      <c r="P37" s="31">
        <f>+P33-P35</f>
        <v>38105.579999999987</v>
      </c>
      <c r="Q37" s="14"/>
      <c r="R37" s="33">
        <f>IF(P$12=0,0,P37/P$12)</f>
        <v>0</v>
      </c>
      <c r="S37" s="14"/>
      <c r="T37" s="31">
        <f>+T33-T35</f>
        <v>-517270</v>
      </c>
      <c r="U37" s="14"/>
      <c r="V37" s="33">
        <f>IF(T$12=0,0,T37/T$12)</f>
        <v>0</v>
      </c>
      <c r="W37" s="16"/>
      <c r="X37" s="31">
        <f>P37-T37</f>
        <v>555375.57999999996</v>
      </c>
      <c r="Y37" s="16"/>
      <c r="Z37" s="33">
        <f>IF(T37=0,0,X37/T37)</f>
        <v>-1.0736667117752816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294</v>
      </c>
      <c r="C40" s="28"/>
      <c r="D40" s="34">
        <f>SUM(D37:D39)</f>
        <v>-43971.69</v>
      </c>
      <c r="E40" s="14"/>
      <c r="F40" s="35">
        <f>IF(D$12=0,0,D40/D$12)</f>
        <v>0</v>
      </c>
      <c r="G40" s="14"/>
      <c r="H40" s="34">
        <f>SUM(H37:H39)</f>
        <v>-62937</v>
      </c>
      <c r="I40" s="14"/>
      <c r="J40" s="35">
        <f>IF(H$12=0,0,H40/H$12)</f>
        <v>0</v>
      </c>
      <c r="K40" s="16"/>
      <c r="L40" s="34">
        <f>+D40-H40</f>
        <v>18965.309999999998</v>
      </c>
      <c r="M40" s="16"/>
      <c r="N40" s="35">
        <f>IF(H40=0,0,L40/H40)</f>
        <v>-0.30133800467133798</v>
      </c>
      <c r="O40" s="29"/>
      <c r="P40" s="34">
        <f>SUM(P37:P39)</f>
        <v>38105.579999999987</v>
      </c>
      <c r="Q40" s="14"/>
      <c r="R40" s="35">
        <f>IF(P$12=0,0,P40/P$12)</f>
        <v>0</v>
      </c>
      <c r="S40" s="14"/>
      <c r="T40" s="34">
        <f>SUM(T37:T39)</f>
        <v>-517270</v>
      </c>
      <c r="U40" s="14"/>
      <c r="V40" s="35">
        <f>IF(T$12=0,0,T40/T$12)</f>
        <v>0</v>
      </c>
      <c r="W40" s="16"/>
      <c r="X40" s="34">
        <f>+P40-T40</f>
        <v>555375.57999999996</v>
      </c>
      <c r="Y40" s="16"/>
      <c r="Z40" s="35">
        <f>IF(T40=0,0,X40/T40)</f>
        <v>-1.0736667117752816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2">
        <v>44330.0058283912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6" t="s">
        <v>56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5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D12-D15</f>
        <v>0</v>
      </c>
      <c r="E17" s="14"/>
      <c r="F17" s="20">
        <f>IF(D$12=0,0,D17/D$12)</f>
        <v>0</v>
      </c>
      <c r="G17" s="14"/>
      <c r="H17" s="21">
        <f>H12-H15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9"/>
      <c r="P17" s="21">
        <f>P12-P15</f>
        <v>0</v>
      </c>
      <c r="Q17" s="14"/>
      <c r="R17" s="20">
        <f>IF(P$12=0,0,P17/P$12)</f>
        <v>0</v>
      </c>
      <c r="S17" s="14"/>
      <c r="T17" s="21">
        <f>T12-T15</f>
        <v>0</v>
      </c>
      <c r="U17" s="14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46371.579999999994</v>
      </c>
      <c r="E19" s="22"/>
      <c r="F19" s="32">
        <f t="shared" ref="F19:F29" si="4">IF(D$12=0,0,D19/D$12)</f>
        <v>0</v>
      </c>
      <c r="G19" s="22"/>
      <c r="H19" s="22">
        <f>SUM(OSRRefH22x_0)</f>
        <v>45286.947384615363</v>
      </c>
      <c r="I19" s="22"/>
      <c r="J19" s="32">
        <f t="shared" ref="J19:J29" si="5">IF(H$12=0,0,H19/H$12)</f>
        <v>0</v>
      </c>
      <c r="K19" s="4"/>
      <c r="L19" s="22">
        <f t="shared" ref="L19:L29" si="6">+D19-H19</f>
        <v>1084.6326153846312</v>
      </c>
      <c r="M19" s="4"/>
      <c r="N19" s="32">
        <f t="shared" ref="N19:N29" si="7">IF(H19=0,0,L19/H19)</f>
        <v>2.3950225794046272E-2</v>
      </c>
      <c r="O19" s="10"/>
      <c r="P19" s="22">
        <f>SUM(OSRRefP22x_0)</f>
        <v>379487.04</v>
      </c>
      <c r="Q19" s="22"/>
      <c r="R19" s="32">
        <f t="shared" ref="R19:R29" si="8">IF(P$12=0,0,P19/P$12)</f>
        <v>0</v>
      </c>
      <c r="S19" s="22"/>
      <c r="T19" s="22">
        <f>SUM(OSRRefT22x_0)</f>
        <v>457354.61578461539</v>
      </c>
      <c r="U19" s="22"/>
      <c r="V19" s="32">
        <f t="shared" ref="V19:V29" si="9">IF(T$12=0,0,T19/T$12)</f>
        <v>0</v>
      </c>
      <c r="W19" s="4"/>
      <c r="X19" s="22">
        <f t="shared" ref="X19:X29" si="10">+P19-T19</f>
        <v>-77867.575784615416</v>
      </c>
      <c r="Y19" s="4"/>
      <c r="Z19" s="32">
        <f t="shared" ref="Z19:Z29" si="11">IF(T19=0,0,X19/T19)</f>
        <v>-0.17025645548811086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12083.72</v>
      </c>
      <c r="E20" s="1"/>
      <c r="F20" s="5">
        <f t="shared" si="4"/>
        <v>0</v>
      </c>
      <c r="G20" s="1"/>
      <c r="H20" s="1">
        <f>SUM(OSRRefH22_0x_0)</f>
        <v>9696.3320000000022</v>
      </c>
      <c r="I20" s="1"/>
      <c r="J20" s="5">
        <f t="shared" si="5"/>
        <v>0</v>
      </c>
      <c r="K20" s="1"/>
      <c r="L20" s="1">
        <f t="shared" si="6"/>
        <v>2387.3879999999972</v>
      </c>
      <c r="M20" s="1"/>
      <c r="N20" s="5">
        <f t="shared" si="7"/>
        <v>0.24621557925203022</v>
      </c>
      <c r="O20" s="13"/>
      <c r="P20" s="1">
        <f>SUM(OSRRefP22_0x_0)</f>
        <v>108419.25999999998</v>
      </c>
      <c r="Q20" s="1"/>
      <c r="R20" s="5">
        <f t="shared" si="8"/>
        <v>0</v>
      </c>
      <c r="S20" s="1"/>
      <c r="T20" s="1">
        <f>SUM(OSRRefT22_0x_0)</f>
        <v>89950.000399999932</v>
      </c>
      <c r="U20" s="1"/>
      <c r="V20" s="5">
        <f t="shared" si="9"/>
        <v>0</v>
      </c>
      <c r="W20" s="1"/>
      <c r="X20" s="1">
        <f t="shared" si="10"/>
        <v>18469.259600000049</v>
      </c>
      <c r="Y20" s="1"/>
      <c r="Z20" s="5">
        <f t="shared" si="11"/>
        <v>0.20532806579064855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2184.4699999999998</v>
      </c>
      <c r="E21" s="2"/>
      <c r="F21" s="6">
        <f t="shared" si="4"/>
        <v>0</v>
      </c>
      <c r="G21" s="2"/>
      <c r="H21" s="7">
        <v>1902.6535384615399</v>
      </c>
      <c r="I21" s="2"/>
      <c r="J21" s="6">
        <f t="shared" si="5"/>
        <v>0</v>
      </c>
      <c r="K21" s="2"/>
      <c r="L21" s="7">
        <f t="shared" si="6"/>
        <v>281.81646153845986</v>
      </c>
      <c r="M21" s="2"/>
      <c r="N21" s="6">
        <f t="shared" si="7"/>
        <v>0.14811759253149834</v>
      </c>
      <c r="O21" s="11"/>
      <c r="P21" s="7">
        <v>13381.38</v>
      </c>
      <c r="Q21" s="2"/>
      <c r="R21" s="6">
        <f t="shared" si="8"/>
        <v>0</v>
      </c>
      <c r="S21" s="2"/>
      <c r="T21" s="7">
        <v>16464.7819384615</v>
      </c>
      <c r="U21" s="2"/>
      <c r="V21" s="6">
        <f t="shared" si="9"/>
        <v>0</v>
      </c>
      <c r="W21" s="2"/>
      <c r="X21" s="7">
        <f t="shared" si="10"/>
        <v>-3083.4019384615003</v>
      </c>
      <c r="Y21" s="2"/>
      <c r="Z21" s="6">
        <f t="shared" si="11"/>
        <v>-0.1872725645554234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62.74</v>
      </c>
      <c r="E22" s="2"/>
      <c r="F22" s="6">
        <f t="shared" si="4"/>
        <v>0</v>
      </c>
      <c r="G22" s="2"/>
      <c r="H22" s="7">
        <v>77.423076923076906</v>
      </c>
      <c r="I22" s="2"/>
      <c r="J22" s="6">
        <f t="shared" si="5"/>
        <v>0</v>
      </c>
      <c r="K22" s="2"/>
      <c r="L22" s="7">
        <f t="shared" si="6"/>
        <v>-14.683076923076904</v>
      </c>
      <c r="M22" s="2"/>
      <c r="N22" s="6">
        <f t="shared" si="7"/>
        <v>-0.18964729259811205</v>
      </c>
      <c r="O22" s="11"/>
      <c r="P22" s="7">
        <v>756.81</v>
      </c>
      <c r="Q22" s="2"/>
      <c r="R22" s="6">
        <f t="shared" si="8"/>
        <v>0</v>
      </c>
      <c r="S22" s="2"/>
      <c r="T22" s="7">
        <v>681.323076923077</v>
      </c>
      <c r="U22" s="2"/>
      <c r="V22" s="6">
        <f t="shared" si="9"/>
        <v>0</v>
      </c>
      <c r="W22" s="2"/>
      <c r="X22" s="7">
        <f t="shared" si="10"/>
        <v>75.486923076922949</v>
      </c>
      <c r="Y22" s="2"/>
      <c r="Z22" s="6">
        <f t="shared" si="11"/>
        <v>0.11079460777672383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3917.15</v>
      </c>
      <c r="E23" s="2"/>
      <c r="F23" s="6">
        <f t="shared" si="4"/>
        <v>0</v>
      </c>
      <c r="G23" s="2"/>
      <c r="H23" s="7">
        <v>3365</v>
      </c>
      <c r="I23" s="2"/>
      <c r="J23" s="6">
        <f t="shared" si="5"/>
        <v>0</v>
      </c>
      <c r="K23" s="2"/>
      <c r="L23" s="7">
        <f t="shared" si="6"/>
        <v>552.15000000000009</v>
      </c>
      <c r="M23" s="2"/>
      <c r="N23" s="6">
        <f t="shared" si="7"/>
        <v>0.16408618127786034</v>
      </c>
      <c r="O23" s="11"/>
      <c r="P23" s="7">
        <v>39882.519999999997</v>
      </c>
      <c r="Q23" s="2"/>
      <c r="R23" s="6">
        <f t="shared" si="8"/>
        <v>0</v>
      </c>
      <c r="S23" s="2"/>
      <c r="T23" s="7">
        <v>33650</v>
      </c>
      <c r="U23" s="2"/>
      <c r="V23" s="6">
        <f t="shared" si="9"/>
        <v>0</v>
      </c>
      <c r="W23" s="2"/>
      <c r="X23" s="7">
        <f t="shared" si="10"/>
        <v>6232.5199999999968</v>
      </c>
      <c r="Y23" s="2"/>
      <c r="Z23" s="6">
        <f t="shared" si="11"/>
        <v>0.18521604754829113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49.43</v>
      </c>
      <c r="E24" s="2"/>
      <c r="F24" s="6">
        <f t="shared" si="4"/>
        <v>0</v>
      </c>
      <c r="G24" s="2"/>
      <c r="H24" s="7">
        <v>64.64</v>
      </c>
      <c r="I24" s="2"/>
      <c r="J24" s="6">
        <f t="shared" si="5"/>
        <v>0</v>
      </c>
      <c r="K24" s="2"/>
      <c r="L24" s="7">
        <f t="shared" si="6"/>
        <v>-15.21</v>
      </c>
      <c r="M24" s="2"/>
      <c r="N24" s="6">
        <f t="shared" si="7"/>
        <v>-0.23530321782178218</v>
      </c>
      <c r="O24" s="11"/>
      <c r="P24" s="7">
        <v>596.28</v>
      </c>
      <c r="Q24" s="2"/>
      <c r="R24" s="6">
        <f t="shared" si="8"/>
        <v>0</v>
      </c>
      <c r="S24" s="2"/>
      <c r="T24" s="7">
        <v>562.28</v>
      </c>
      <c r="U24" s="2"/>
      <c r="V24" s="6">
        <f t="shared" si="9"/>
        <v>0</v>
      </c>
      <c r="W24" s="2"/>
      <c r="X24" s="7">
        <f t="shared" si="10"/>
        <v>34</v>
      </c>
      <c r="Y24" s="2"/>
      <c r="Z24" s="6">
        <f t="shared" si="11"/>
        <v>6.0468094187949066E-2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2049.0300000000002</v>
      </c>
      <c r="E25" s="2"/>
      <c r="F25" s="6">
        <f t="shared" si="4"/>
        <v>0</v>
      </c>
      <c r="G25" s="2"/>
      <c r="H25" s="7">
        <v>2017.6923076923099</v>
      </c>
      <c r="I25" s="2"/>
      <c r="J25" s="6">
        <f t="shared" si="5"/>
        <v>0</v>
      </c>
      <c r="K25" s="2"/>
      <c r="L25" s="7">
        <f t="shared" si="6"/>
        <v>31.337692307690304</v>
      </c>
      <c r="M25" s="2"/>
      <c r="N25" s="6">
        <f t="shared" si="7"/>
        <v>1.5531452535263954E-2</v>
      </c>
      <c r="O25" s="11"/>
      <c r="P25" s="7">
        <v>25714.65</v>
      </c>
      <c r="Q25" s="2"/>
      <c r="R25" s="6">
        <f t="shared" si="8"/>
        <v>0</v>
      </c>
      <c r="S25" s="2"/>
      <c r="T25" s="7">
        <v>17755.692307692301</v>
      </c>
      <c r="U25" s="2"/>
      <c r="V25" s="6">
        <f t="shared" si="9"/>
        <v>0</v>
      </c>
      <c r="W25" s="2"/>
      <c r="X25" s="7">
        <f t="shared" si="10"/>
        <v>7958.9576923077002</v>
      </c>
      <c r="Y25" s="2"/>
      <c r="Z25" s="6">
        <f t="shared" si="11"/>
        <v>0.4482482324195064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2488.4699999999998</v>
      </c>
      <c r="E27" s="2"/>
      <c r="F27" s="6">
        <f t="shared" si="4"/>
        <v>0</v>
      </c>
      <c r="G27" s="2"/>
      <c r="H27" s="7">
        <v>1173.0769230769199</v>
      </c>
      <c r="I27" s="2"/>
      <c r="J27" s="6">
        <f t="shared" si="5"/>
        <v>0</v>
      </c>
      <c r="K27" s="2"/>
      <c r="L27" s="7">
        <f t="shared" si="6"/>
        <v>1315.3930769230799</v>
      </c>
      <c r="M27" s="2"/>
      <c r="N27" s="6">
        <f t="shared" si="7"/>
        <v>1.1213186885245958</v>
      </c>
      <c r="O27" s="11"/>
      <c r="P27" s="7">
        <v>18248.78</v>
      </c>
      <c r="Q27" s="2"/>
      <c r="R27" s="6">
        <f t="shared" si="8"/>
        <v>0</v>
      </c>
      <c r="S27" s="2"/>
      <c r="T27" s="7">
        <v>10323.0769230769</v>
      </c>
      <c r="U27" s="2"/>
      <c r="V27" s="6">
        <f t="shared" si="9"/>
        <v>0</v>
      </c>
      <c r="W27" s="2"/>
      <c r="X27" s="7">
        <f t="shared" si="10"/>
        <v>7925.7030769230987</v>
      </c>
      <c r="Y27" s="2"/>
      <c r="Z27" s="6">
        <f t="shared" si="11"/>
        <v>0.76776557377049559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1285.2</v>
      </c>
      <c r="E28" s="2"/>
      <c r="F28" s="6">
        <f t="shared" si="4"/>
        <v>0</v>
      </c>
      <c r="G28" s="2"/>
      <c r="H28" s="7">
        <v>745.84615384615404</v>
      </c>
      <c r="I28" s="2"/>
      <c r="J28" s="6">
        <f t="shared" si="5"/>
        <v>0</v>
      </c>
      <c r="K28" s="2"/>
      <c r="L28" s="7">
        <f t="shared" si="6"/>
        <v>539.35384615384601</v>
      </c>
      <c r="M28" s="2"/>
      <c r="N28" s="6">
        <f t="shared" si="7"/>
        <v>0.72314356435643523</v>
      </c>
      <c r="O28" s="11"/>
      <c r="P28" s="7">
        <v>9424.7999999999993</v>
      </c>
      <c r="Q28" s="2"/>
      <c r="R28" s="6">
        <f t="shared" si="8"/>
        <v>0</v>
      </c>
      <c r="S28" s="2"/>
      <c r="T28" s="7">
        <v>6487.8461538461497</v>
      </c>
      <c r="U28" s="2"/>
      <c r="V28" s="6">
        <f t="shared" si="9"/>
        <v>0</v>
      </c>
      <c r="W28" s="2"/>
      <c r="X28" s="7">
        <f t="shared" si="10"/>
        <v>2936.9538461538496</v>
      </c>
      <c r="Y28" s="2"/>
      <c r="Z28" s="6">
        <f t="shared" si="11"/>
        <v>0.45268549477128917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47.23</v>
      </c>
      <c r="E29" s="2"/>
      <c r="F29" s="6">
        <f t="shared" si="4"/>
        <v>0</v>
      </c>
      <c r="G29" s="2"/>
      <c r="H29" s="7">
        <v>350</v>
      </c>
      <c r="I29" s="2"/>
      <c r="J29" s="6">
        <f t="shared" si="5"/>
        <v>0</v>
      </c>
      <c r="K29" s="2"/>
      <c r="L29" s="7">
        <f t="shared" si="6"/>
        <v>-302.77</v>
      </c>
      <c r="M29" s="2"/>
      <c r="N29" s="6">
        <f t="shared" si="7"/>
        <v>-0.86505714285714286</v>
      </c>
      <c r="O29" s="11"/>
      <c r="P29" s="7">
        <v>414.04</v>
      </c>
      <c r="Q29" s="2"/>
      <c r="R29" s="6">
        <f t="shared" si="8"/>
        <v>0</v>
      </c>
      <c r="S29" s="2"/>
      <c r="T29" s="7">
        <v>4025</v>
      </c>
      <c r="U29" s="2"/>
      <c r="V29" s="6">
        <f t="shared" si="9"/>
        <v>0</v>
      </c>
      <c r="W29" s="2"/>
      <c r="X29" s="7">
        <f t="shared" si="10"/>
        <v>-3610.96</v>
      </c>
      <c r="Y29" s="2"/>
      <c r="Z29" s="6">
        <f t="shared" si="11"/>
        <v>-0.89713291925465843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22003.08</v>
      </c>
      <c r="E30" s="1"/>
      <c r="F30" s="5">
        <f t="shared" ref="F30:F40" si="12">IF(D$12=0,0,D30/D$12)</f>
        <v>0</v>
      </c>
      <c r="G30" s="1"/>
      <c r="H30" s="1">
        <f>SUM(OSRRefH22_1x_0)</f>
        <v>22984.615384615361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-981.53538461535936</v>
      </c>
      <c r="M30" s="1"/>
      <c r="N30" s="5">
        <f t="shared" ref="N30:N40" si="15">IF(H30=0,0,L30/H30)</f>
        <v>-4.2704016064255973E-2</v>
      </c>
      <c r="O30" s="13"/>
      <c r="P30" s="1">
        <f>SUM(OSRRefP22_1x_0)</f>
        <v>150968.49</v>
      </c>
      <c r="Q30" s="1"/>
      <c r="R30" s="5">
        <f t="shared" ref="R30:R40" si="16">IF(P$12=0,0,P30/P$12)</f>
        <v>0</v>
      </c>
      <c r="S30" s="1"/>
      <c r="T30" s="1">
        <f>SUM(OSRRefT22_1x_0)</f>
        <v>199744.61538461549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-48776.125384615501</v>
      </c>
      <c r="Y30" s="1"/>
      <c r="Z30" s="5">
        <f t="shared" ref="Z30:Z40" si="19">IF(T30=0,0,X30/T30)</f>
        <v>-0.24419244188733352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17106.48</v>
      </c>
      <c r="E31" s="2"/>
      <c r="F31" s="6">
        <f t="shared" si="12"/>
        <v>0</v>
      </c>
      <c r="G31" s="2"/>
      <c r="H31" s="7">
        <v>15923.0769230769</v>
      </c>
      <c r="I31" s="2"/>
      <c r="J31" s="6">
        <f t="shared" si="13"/>
        <v>0</v>
      </c>
      <c r="K31" s="2"/>
      <c r="L31" s="7">
        <f t="shared" si="14"/>
        <v>1183.4030769230994</v>
      </c>
      <c r="M31" s="2"/>
      <c r="N31" s="6">
        <f t="shared" si="15"/>
        <v>7.4320000000001524E-2</v>
      </c>
      <c r="O31" s="11"/>
      <c r="P31" s="7">
        <v>150296.57</v>
      </c>
      <c r="Q31" s="2"/>
      <c r="R31" s="6">
        <f t="shared" si="16"/>
        <v>0</v>
      </c>
      <c r="S31" s="2"/>
      <c r="T31" s="7">
        <v>140123.07692307699</v>
      </c>
      <c r="U31" s="2"/>
      <c r="V31" s="6">
        <f t="shared" si="17"/>
        <v>0</v>
      </c>
      <c r="W31" s="2"/>
      <c r="X31" s="7">
        <f t="shared" si="18"/>
        <v>10173.493076923012</v>
      </c>
      <c r="Y31" s="2"/>
      <c r="Z31" s="6">
        <f t="shared" si="19"/>
        <v>7.2603980017566475E-2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4896.6000000000004</v>
      </c>
      <c r="E32" s="2"/>
      <c r="F32" s="6">
        <f t="shared" si="12"/>
        <v>0</v>
      </c>
      <c r="G32" s="2"/>
      <c r="H32" s="7">
        <v>5661.5384615384601</v>
      </c>
      <c r="I32" s="2"/>
      <c r="J32" s="6">
        <f t="shared" si="13"/>
        <v>0</v>
      </c>
      <c r="K32" s="2"/>
      <c r="L32" s="7">
        <f t="shared" si="14"/>
        <v>-764.93846153845971</v>
      </c>
      <c r="M32" s="2"/>
      <c r="N32" s="6">
        <f t="shared" si="15"/>
        <v>-0.13511141304347798</v>
      </c>
      <c r="O32" s="11"/>
      <c r="P32" s="7">
        <v>45629.21</v>
      </c>
      <c r="Q32" s="2"/>
      <c r="R32" s="6">
        <f t="shared" si="16"/>
        <v>0</v>
      </c>
      <c r="S32" s="2"/>
      <c r="T32" s="7">
        <v>49821.538461538497</v>
      </c>
      <c r="U32" s="2"/>
      <c r="V32" s="6">
        <f t="shared" si="17"/>
        <v>0</v>
      </c>
      <c r="W32" s="2"/>
      <c r="X32" s="7">
        <f t="shared" si="18"/>
        <v>-4192.3284615384982</v>
      </c>
      <c r="Y32" s="2"/>
      <c r="Z32" s="6">
        <f t="shared" si="19"/>
        <v>-8.4146908967391978E-2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1400</v>
      </c>
      <c r="I37" s="2"/>
      <c r="J37" s="6">
        <f t="shared" si="13"/>
        <v>0</v>
      </c>
      <c r="K37" s="2"/>
      <c r="L37" s="7">
        <f t="shared" si="14"/>
        <v>-1400</v>
      </c>
      <c r="M37" s="2"/>
      <c r="N37" s="6">
        <f t="shared" si="15"/>
        <v>-1</v>
      </c>
      <c r="O37" s="11"/>
      <c r="P37" s="7">
        <v>-44957.29</v>
      </c>
      <c r="Q37" s="2"/>
      <c r="R37" s="6">
        <f t="shared" si="16"/>
        <v>0</v>
      </c>
      <c r="S37" s="2"/>
      <c r="T37" s="7">
        <v>8680</v>
      </c>
      <c r="U37" s="2"/>
      <c r="V37" s="6">
        <f t="shared" si="17"/>
        <v>0</v>
      </c>
      <c r="W37" s="2"/>
      <c r="X37" s="7">
        <f t="shared" si="18"/>
        <v>-53637.29</v>
      </c>
      <c r="Y37" s="2"/>
      <c r="Z37" s="6">
        <f t="shared" si="19"/>
        <v>-6.1794112903225811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106.3</v>
      </c>
      <c r="E41" s="1"/>
      <c r="F41" s="5">
        <f t="shared" ref="F41:F47" si="20">IF(D$12=0,0,D41/D$12)</f>
        <v>0</v>
      </c>
      <c r="G41" s="1"/>
      <c r="H41" s="1">
        <f>SUM(OSRRefH22_2x_0)</f>
        <v>500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-393.7</v>
      </c>
      <c r="M41" s="1"/>
      <c r="N41" s="5">
        <f t="shared" ref="N41:N47" si="23">IF(H41=0,0,L41/H41)</f>
        <v>-0.78739999999999999</v>
      </c>
      <c r="O41" s="13"/>
      <c r="P41" s="1">
        <f>SUM(OSRRefP22_2x_0)</f>
        <v>173.1</v>
      </c>
      <c r="Q41" s="1"/>
      <c r="R41" s="5">
        <f t="shared" ref="R41:R47" si="24">IF(P$12=0,0,P41/P$12)</f>
        <v>0</v>
      </c>
      <c r="S41" s="1"/>
      <c r="T41" s="1">
        <f>SUM(OSRRefT22_2x_0)</f>
        <v>5000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-4826.8999999999996</v>
      </c>
      <c r="Y41" s="1"/>
      <c r="Z41" s="5">
        <f t="shared" ref="Z41:Z47" si="27">IF(T41=0,0,X41/T41)</f>
        <v>-0.9653799999999999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106.3</v>
      </c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-393.7</v>
      </c>
      <c r="M42" s="2"/>
      <c r="N42" s="6">
        <f t="shared" si="23"/>
        <v>-0.78739999999999999</v>
      </c>
      <c r="O42" s="11"/>
      <c r="P42" s="7">
        <v>173.1</v>
      </c>
      <c r="Q42" s="2"/>
      <c r="R42" s="6">
        <f t="shared" si="24"/>
        <v>0</v>
      </c>
      <c r="S42" s="2"/>
      <c r="T42" s="7">
        <v>5000</v>
      </c>
      <c r="U42" s="2"/>
      <c r="V42" s="6">
        <f t="shared" si="25"/>
        <v>0</v>
      </c>
      <c r="W42" s="2"/>
      <c r="X42" s="7">
        <f t="shared" si="26"/>
        <v>-4826.8999999999996</v>
      </c>
      <c r="Y42" s="2"/>
      <c r="Z42" s="6">
        <f t="shared" si="27"/>
        <v>-0.9653799999999999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3"/>
      <c r="P43" s="1">
        <f>SUM(OSRRefP22_3x_0)</f>
        <v>3148.7</v>
      </c>
      <c r="Q43" s="1"/>
      <c r="R43" s="5">
        <f t="shared" si="24"/>
        <v>0</v>
      </c>
      <c r="S43" s="1"/>
      <c r="T43" s="1">
        <f>SUM(OSRRefT22_3x_0)</f>
        <v>3150</v>
      </c>
      <c r="U43" s="1"/>
      <c r="V43" s="5">
        <f t="shared" si="25"/>
        <v>0</v>
      </c>
      <c r="W43" s="1"/>
      <c r="X43" s="1">
        <f t="shared" si="26"/>
        <v>-1.3000000000001819</v>
      </c>
      <c r="Y43" s="1"/>
      <c r="Z43" s="5">
        <f t="shared" si="27"/>
        <v>-4.1269841269847042E-4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3148.7</v>
      </c>
      <c r="Q44" s="2"/>
      <c r="R44" s="6">
        <f t="shared" si="24"/>
        <v>0</v>
      </c>
      <c r="S44" s="2"/>
      <c r="T44" s="7">
        <v>3150</v>
      </c>
      <c r="U44" s="2"/>
      <c r="V44" s="6">
        <f t="shared" si="25"/>
        <v>0</v>
      </c>
      <c r="W44" s="2"/>
      <c r="X44" s="7">
        <f t="shared" si="26"/>
        <v>-1.3000000000001819</v>
      </c>
      <c r="Y44" s="2"/>
      <c r="Z44" s="6">
        <f t="shared" si="27"/>
        <v>-4.1269841269847042E-4</v>
      </c>
    </row>
    <row r="45" spans="1:26" s="25" customFormat="1" outlineLevel="1" collapsed="1" x14ac:dyDescent="0.25">
      <c r="A45" s="27"/>
      <c r="B45" s="13" t="str">
        <f>CONCATENATE("     ","Donations                                         ")</f>
        <v xml:space="preserve">     Donations                                         </v>
      </c>
      <c r="C45" s="13"/>
      <c r="D45" s="1">
        <f>SUM(OSRRefD22_4x_0)</f>
        <v>1500</v>
      </c>
      <c r="E45" s="1"/>
      <c r="F45" s="5">
        <f t="shared" si="20"/>
        <v>0</v>
      </c>
      <c r="G45" s="1"/>
      <c r="H45" s="1">
        <f>SUM(OSRRefH22_4x_0)</f>
        <v>1000</v>
      </c>
      <c r="I45" s="1"/>
      <c r="J45" s="5">
        <f t="shared" si="21"/>
        <v>0</v>
      </c>
      <c r="K45" s="1"/>
      <c r="L45" s="1">
        <f t="shared" si="22"/>
        <v>500</v>
      </c>
      <c r="M45" s="1"/>
      <c r="N45" s="5">
        <f t="shared" si="23"/>
        <v>0.5</v>
      </c>
      <c r="O45" s="13"/>
      <c r="P45" s="1">
        <f>SUM(OSRRefP22_4x_0)</f>
        <v>26500</v>
      </c>
      <c r="Q45" s="1"/>
      <c r="R45" s="5">
        <f t="shared" si="24"/>
        <v>0</v>
      </c>
      <c r="S45" s="1"/>
      <c r="T45" s="1">
        <f>SUM(OSRRefT22_4x_0)</f>
        <v>39750</v>
      </c>
      <c r="U45" s="1"/>
      <c r="V45" s="5">
        <f t="shared" si="25"/>
        <v>0</v>
      </c>
      <c r="W45" s="1"/>
      <c r="X45" s="1">
        <f t="shared" si="26"/>
        <v>-13250</v>
      </c>
      <c r="Y45" s="1"/>
      <c r="Z45" s="5">
        <f t="shared" si="27"/>
        <v>-0.33333333333333331</v>
      </c>
    </row>
    <row r="46" spans="1:26" s="24" customFormat="1" hidden="1" outlineLevel="2" x14ac:dyDescent="0.25">
      <c r="A46" s="26"/>
      <c r="B46" s="11" t="str">
        <f>CONCATENATE("          ", "6395", " - ", "DONATION-OFF CAMPUS")</f>
        <v xml:space="preserve">          6395 - DONATION-OFF CAMPUS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1500</v>
      </c>
      <c r="U46" s="2"/>
      <c r="V46" s="6">
        <f t="shared" si="25"/>
        <v>0</v>
      </c>
      <c r="W46" s="2"/>
      <c r="X46" s="7">
        <f t="shared" si="26"/>
        <v>-1500</v>
      </c>
      <c r="Y46" s="2"/>
      <c r="Z46" s="6">
        <f t="shared" si="27"/>
        <v>-1</v>
      </c>
    </row>
    <row r="47" spans="1:26" s="24" customFormat="1" hidden="1" outlineLevel="2" x14ac:dyDescent="0.25">
      <c r="A47" s="26"/>
      <c r="B47" s="11" t="str">
        <f>CONCATENATE("          ", "6399", " - ", "DONATION-ON CAMPUS")</f>
        <v xml:space="preserve">          6399 - DONATION-ON CAMPUS</v>
      </c>
      <c r="C47" s="11"/>
      <c r="D47" s="7">
        <v>1500</v>
      </c>
      <c r="E47" s="2"/>
      <c r="F47" s="6">
        <f t="shared" si="20"/>
        <v>0</v>
      </c>
      <c r="G47" s="2"/>
      <c r="H47" s="7">
        <v>1000</v>
      </c>
      <c r="I47" s="2"/>
      <c r="J47" s="6">
        <f t="shared" si="21"/>
        <v>0</v>
      </c>
      <c r="K47" s="2"/>
      <c r="L47" s="7">
        <f t="shared" si="22"/>
        <v>500</v>
      </c>
      <c r="M47" s="2"/>
      <c r="N47" s="6">
        <f t="shared" si="23"/>
        <v>0.5</v>
      </c>
      <c r="O47" s="11"/>
      <c r="P47" s="7">
        <v>26500</v>
      </c>
      <c r="Q47" s="2"/>
      <c r="R47" s="6">
        <f t="shared" si="24"/>
        <v>0</v>
      </c>
      <c r="S47" s="2"/>
      <c r="T47" s="7">
        <v>38250</v>
      </c>
      <c r="U47" s="2"/>
      <c r="V47" s="6">
        <f t="shared" si="25"/>
        <v>0</v>
      </c>
      <c r="W47" s="2"/>
      <c r="X47" s="7">
        <f t="shared" si="26"/>
        <v>-11750</v>
      </c>
      <c r="Y47" s="2"/>
      <c r="Z47" s="6">
        <f t="shared" si="27"/>
        <v>-0.30718954248366015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61" si="28">IF(D$12=0,0,D48/D$12)</f>
        <v>0</v>
      </c>
      <c r="G48" s="1"/>
      <c r="H48" s="1">
        <f>SUM(OSRRefH22_5x_0)</f>
        <v>0</v>
      </c>
      <c r="I48" s="1"/>
      <c r="J48" s="5">
        <f t="shared" ref="J48:J61" si="29">IF(H$12=0,0,H48/H$12)</f>
        <v>0</v>
      </c>
      <c r="K48" s="1"/>
      <c r="L48" s="1">
        <f t="shared" ref="L48:L61" si="30">+D48-H48</f>
        <v>0</v>
      </c>
      <c r="M48" s="1"/>
      <c r="N48" s="5">
        <f t="shared" ref="N48:N61" si="31">IF(H48=0,0,L48/H48)</f>
        <v>0</v>
      </c>
      <c r="O48" s="13"/>
      <c r="P48" s="1">
        <f>SUM(OSRRefP22_5x_0)</f>
        <v>0</v>
      </c>
      <c r="Q48" s="1"/>
      <c r="R48" s="5">
        <f t="shared" ref="R48:R61" si="32">IF(P$12=0,0,P48/P$12)</f>
        <v>0</v>
      </c>
      <c r="S48" s="1"/>
      <c r="T48" s="1">
        <f>SUM(OSRRefT22_5x_0)</f>
        <v>3000</v>
      </c>
      <c r="U48" s="1"/>
      <c r="V48" s="5">
        <f t="shared" ref="V48:V61" si="33">IF(T$12=0,0,T48/T$12)</f>
        <v>0</v>
      </c>
      <c r="W48" s="1"/>
      <c r="X48" s="1">
        <f t="shared" ref="X48:X61" si="34">+P48-T48</f>
        <v>-3000</v>
      </c>
      <c r="Y48" s="1"/>
      <c r="Z48" s="5">
        <f t="shared" ref="Z48:Z61" si="35">IF(T48=0,0,X48/T48)</f>
        <v>-1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3000</v>
      </c>
      <c r="U49" s="2"/>
      <c r="V49" s="6">
        <f t="shared" si="33"/>
        <v>0</v>
      </c>
      <c r="W49" s="2"/>
      <c r="X49" s="7">
        <f t="shared" si="34"/>
        <v>-3000</v>
      </c>
      <c r="Y49" s="2"/>
      <c r="Z49" s="6">
        <f t="shared" si="35"/>
        <v>-1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117.71</v>
      </c>
      <c r="E50" s="1"/>
      <c r="F50" s="5">
        <f t="shared" si="28"/>
        <v>0</v>
      </c>
      <c r="G50" s="1"/>
      <c r="H50" s="1">
        <f>SUM(OSRRefH22_6x_0)</f>
        <v>118</v>
      </c>
      <c r="I50" s="1"/>
      <c r="J50" s="5">
        <f t="shared" si="29"/>
        <v>0</v>
      </c>
      <c r="K50" s="1"/>
      <c r="L50" s="1">
        <f t="shared" si="30"/>
        <v>-0.29000000000000625</v>
      </c>
      <c r="M50" s="1"/>
      <c r="N50" s="5">
        <f t="shared" si="31"/>
        <v>-2.457627118644121E-3</v>
      </c>
      <c r="O50" s="13"/>
      <c r="P50" s="1">
        <f>SUM(OSRRefP22_6x_0)</f>
        <v>1268.3599999999999</v>
      </c>
      <c r="Q50" s="1"/>
      <c r="R50" s="5">
        <f t="shared" si="32"/>
        <v>0</v>
      </c>
      <c r="S50" s="1"/>
      <c r="T50" s="1">
        <f>SUM(OSRRefT22_6x_0)</f>
        <v>1180</v>
      </c>
      <c r="U50" s="1"/>
      <c r="V50" s="5">
        <f t="shared" si="33"/>
        <v>0</v>
      </c>
      <c r="W50" s="1"/>
      <c r="X50" s="1">
        <f t="shared" si="34"/>
        <v>88.3599999999999</v>
      </c>
      <c r="Y50" s="1"/>
      <c r="Z50" s="5">
        <f t="shared" si="35"/>
        <v>7.4881355932203311E-2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117.71</v>
      </c>
      <c r="E51" s="2"/>
      <c r="F51" s="6">
        <f t="shared" si="28"/>
        <v>0</v>
      </c>
      <c r="G51" s="2"/>
      <c r="H51" s="7">
        <v>118</v>
      </c>
      <c r="I51" s="2"/>
      <c r="J51" s="6">
        <f t="shared" si="29"/>
        <v>0</v>
      </c>
      <c r="K51" s="2"/>
      <c r="L51" s="7">
        <f t="shared" si="30"/>
        <v>-0.29000000000000625</v>
      </c>
      <c r="M51" s="2"/>
      <c r="N51" s="6">
        <f t="shared" si="31"/>
        <v>-2.457627118644121E-3</v>
      </c>
      <c r="O51" s="11"/>
      <c r="P51" s="7">
        <v>1268.3599999999999</v>
      </c>
      <c r="Q51" s="2"/>
      <c r="R51" s="6">
        <f t="shared" si="32"/>
        <v>0</v>
      </c>
      <c r="S51" s="2"/>
      <c r="T51" s="7">
        <v>1180</v>
      </c>
      <c r="U51" s="2"/>
      <c r="V51" s="6">
        <f t="shared" si="33"/>
        <v>0</v>
      </c>
      <c r="W51" s="2"/>
      <c r="X51" s="7">
        <f t="shared" si="34"/>
        <v>88.3599999999999</v>
      </c>
      <c r="Y51" s="2"/>
      <c r="Z51" s="6">
        <f t="shared" si="35"/>
        <v>7.4881355932203311E-2</v>
      </c>
    </row>
    <row r="52" spans="1:26" s="25" customFormat="1" outlineLevel="1" collapsed="1" x14ac:dyDescent="0.25">
      <c r="A52" s="27"/>
      <c r="B52" s="13" t="str">
        <f>CONCATENATE("     ","Freight out/Postage                               ")</f>
        <v xml:space="preserve">     Freight out/Postage                               </v>
      </c>
      <c r="C52" s="13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15</v>
      </c>
      <c r="I52" s="1"/>
      <c r="J52" s="5">
        <f t="shared" si="29"/>
        <v>0</v>
      </c>
      <c r="K52" s="1"/>
      <c r="L52" s="1">
        <f t="shared" si="30"/>
        <v>-15</v>
      </c>
      <c r="M52" s="1"/>
      <c r="N52" s="5">
        <f t="shared" si="31"/>
        <v>-1</v>
      </c>
      <c r="O52" s="13"/>
      <c r="P52" s="1">
        <f>SUM(OSRRefP22_7x_0)</f>
        <v>66.59</v>
      </c>
      <c r="Q52" s="1"/>
      <c r="R52" s="5">
        <f t="shared" si="32"/>
        <v>0</v>
      </c>
      <c r="S52" s="1"/>
      <c r="T52" s="1">
        <f>SUM(OSRRefT22_7x_0)</f>
        <v>150</v>
      </c>
      <c r="U52" s="1"/>
      <c r="V52" s="5">
        <f t="shared" si="33"/>
        <v>0</v>
      </c>
      <c r="W52" s="1"/>
      <c r="X52" s="1">
        <f t="shared" si="34"/>
        <v>-83.41</v>
      </c>
      <c r="Y52" s="1"/>
      <c r="Z52" s="5">
        <f t="shared" si="35"/>
        <v>-0.5560666666666666</v>
      </c>
    </row>
    <row r="53" spans="1:26" s="24" customFormat="1" hidden="1" outlineLevel="2" x14ac:dyDescent="0.25">
      <c r="A53" s="26"/>
      <c r="B53" s="11" t="str">
        <f>CONCATENATE("          ", "6307", " - ", "POSTAGE")</f>
        <v xml:space="preserve">          6307 - POSTAGE</v>
      </c>
      <c r="C53" s="11"/>
      <c r="D53" s="7"/>
      <c r="E53" s="2"/>
      <c r="F53" s="6">
        <f t="shared" si="28"/>
        <v>0</v>
      </c>
      <c r="G53" s="2"/>
      <c r="H53" s="7">
        <v>15</v>
      </c>
      <c r="I53" s="2"/>
      <c r="J53" s="6">
        <f t="shared" si="29"/>
        <v>0</v>
      </c>
      <c r="K53" s="2"/>
      <c r="L53" s="7">
        <f t="shared" si="30"/>
        <v>-15</v>
      </c>
      <c r="M53" s="2"/>
      <c r="N53" s="6">
        <f t="shared" si="31"/>
        <v>-1</v>
      </c>
      <c r="O53" s="11"/>
      <c r="P53" s="7">
        <v>66.59</v>
      </c>
      <c r="Q53" s="2"/>
      <c r="R53" s="6">
        <f t="shared" si="32"/>
        <v>0</v>
      </c>
      <c r="S53" s="2"/>
      <c r="T53" s="7">
        <v>150</v>
      </c>
      <c r="U53" s="2"/>
      <c r="V53" s="6">
        <f t="shared" si="33"/>
        <v>0</v>
      </c>
      <c r="W53" s="2"/>
      <c r="X53" s="7">
        <f t="shared" si="34"/>
        <v>-83.41</v>
      </c>
      <c r="Y53" s="2"/>
      <c r="Z53" s="6">
        <f t="shared" si="35"/>
        <v>-0.5560666666666666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SUM(OSRRefP22_8x_0)</f>
        <v>0</v>
      </c>
      <c r="Q54" s="1"/>
      <c r="R54" s="5">
        <f t="shared" si="32"/>
        <v>0</v>
      </c>
      <c r="S54" s="1"/>
      <c r="T54" s="1">
        <f>SUM(OSRRefT22_8x_0)</f>
        <v>2000</v>
      </c>
      <c r="U54" s="1"/>
      <c r="V54" s="5">
        <f t="shared" si="33"/>
        <v>0</v>
      </c>
      <c r="W54" s="1"/>
      <c r="X54" s="1">
        <f t="shared" si="34"/>
        <v>-2000</v>
      </c>
      <c r="Y54" s="1"/>
      <c r="Z54" s="5">
        <f t="shared" si="35"/>
        <v>-1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2000</v>
      </c>
      <c r="U55" s="2"/>
      <c r="V55" s="6">
        <f t="shared" si="33"/>
        <v>0</v>
      </c>
      <c r="W55" s="2"/>
      <c r="X55" s="7">
        <f t="shared" si="34"/>
        <v>-2000</v>
      </c>
      <c r="Y55" s="2"/>
      <c r="Z55" s="6">
        <f t="shared" si="35"/>
        <v>-1</v>
      </c>
    </row>
    <row r="56" spans="1:26" s="25" customFormat="1" outlineLevel="1" collapsed="1" x14ac:dyDescent="0.25">
      <c r="A56" s="27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SUM(OSRRefD22_9x_0)</f>
        <v>115.13</v>
      </c>
      <c r="E56" s="1"/>
      <c r="F56" s="5">
        <f t="shared" si="28"/>
        <v>0</v>
      </c>
      <c r="G56" s="1"/>
      <c r="H56" s="1">
        <f>SUM(OSRRefH22_9x_0)</f>
        <v>126</v>
      </c>
      <c r="I56" s="1"/>
      <c r="J56" s="5">
        <f t="shared" si="29"/>
        <v>0</v>
      </c>
      <c r="K56" s="1"/>
      <c r="L56" s="1">
        <f t="shared" si="30"/>
        <v>-10.870000000000005</v>
      </c>
      <c r="M56" s="1"/>
      <c r="N56" s="5">
        <f t="shared" si="31"/>
        <v>-8.6269841269841302E-2</v>
      </c>
      <c r="O56" s="13"/>
      <c r="P56" s="1">
        <f>SUM(OSRRefP22_9x_0)</f>
        <v>1151.3</v>
      </c>
      <c r="Q56" s="1"/>
      <c r="R56" s="5">
        <f t="shared" si="32"/>
        <v>0</v>
      </c>
      <c r="S56" s="1"/>
      <c r="T56" s="1">
        <f>SUM(OSRRefT22_9x_0)</f>
        <v>1260</v>
      </c>
      <c r="U56" s="1"/>
      <c r="V56" s="5">
        <f t="shared" si="33"/>
        <v>0</v>
      </c>
      <c r="W56" s="1"/>
      <c r="X56" s="1">
        <f t="shared" si="34"/>
        <v>-108.70000000000005</v>
      </c>
      <c r="Y56" s="1"/>
      <c r="Z56" s="5">
        <f t="shared" si="35"/>
        <v>-8.6269841269841302E-2</v>
      </c>
    </row>
    <row r="57" spans="1:26" s="24" customFormat="1" hidden="1" outlineLevel="2" x14ac:dyDescent="0.25">
      <c r="A57" s="26"/>
      <c r="B57" s="11" t="str">
        <f>CONCATENATE("          ", "6314", " - ", "LIABILITY INSURANCE")</f>
        <v xml:space="preserve">          6314 - LIABILITY INSURANCE</v>
      </c>
      <c r="C57" s="11"/>
      <c r="D57" s="7">
        <v>115.13</v>
      </c>
      <c r="E57" s="2"/>
      <c r="F57" s="6">
        <f t="shared" si="28"/>
        <v>0</v>
      </c>
      <c r="G57" s="2"/>
      <c r="H57" s="7">
        <v>126</v>
      </c>
      <c r="I57" s="2"/>
      <c r="J57" s="6">
        <f t="shared" si="29"/>
        <v>0</v>
      </c>
      <c r="K57" s="2"/>
      <c r="L57" s="7">
        <f t="shared" si="30"/>
        <v>-10.870000000000005</v>
      </c>
      <c r="M57" s="2"/>
      <c r="N57" s="6">
        <f t="shared" si="31"/>
        <v>-8.6269841269841302E-2</v>
      </c>
      <c r="O57" s="11"/>
      <c r="P57" s="7">
        <v>1151.3</v>
      </c>
      <c r="Q57" s="2"/>
      <c r="R57" s="6">
        <f t="shared" si="32"/>
        <v>0</v>
      </c>
      <c r="S57" s="2"/>
      <c r="T57" s="7">
        <v>1260</v>
      </c>
      <c r="U57" s="2"/>
      <c r="V57" s="6">
        <f t="shared" si="33"/>
        <v>0</v>
      </c>
      <c r="W57" s="2"/>
      <c r="X57" s="7">
        <f t="shared" si="34"/>
        <v>-108.70000000000005</v>
      </c>
      <c r="Y57" s="2"/>
      <c r="Z57" s="6">
        <f t="shared" si="35"/>
        <v>-8.6269841269841302E-2</v>
      </c>
    </row>
    <row r="58" spans="1:26" s="25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SUM(OSRRefP22_10x_0)</f>
        <v>50379.24</v>
      </c>
      <c r="Q58" s="1"/>
      <c r="R58" s="5">
        <f t="shared" si="32"/>
        <v>0</v>
      </c>
      <c r="S58" s="1"/>
      <c r="T58" s="1">
        <f>SUM(OSRRefT22_10x_0)</f>
        <v>58500</v>
      </c>
      <c r="U58" s="1"/>
      <c r="V58" s="5">
        <f t="shared" si="33"/>
        <v>0</v>
      </c>
      <c r="W58" s="1"/>
      <c r="X58" s="1">
        <f t="shared" si="34"/>
        <v>-8120.760000000002</v>
      </c>
      <c r="Y58" s="1"/>
      <c r="Z58" s="5">
        <f t="shared" si="35"/>
        <v>-0.13881641025641028</v>
      </c>
    </row>
    <row r="59" spans="1:26" s="24" customFormat="1" hidden="1" outlineLevel="2" x14ac:dyDescent="0.25">
      <c r="A59" s="26"/>
      <c r="B59" s="11" t="str">
        <f>CONCATENATE("          ", "6331", " - ", "INDIRECT COSTS-AUXILIARY ORGAN")</f>
        <v xml:space="preserve">          6331 - INDIRECT COSTS-AUXILIARY ORGAN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45850</v>
      </c>
      <c r="Q59" s="2"/>
      <c r="R59" s="6">
        <f t="shared" si="32"/>
        <v>0</v>
      </c>
      <c r="S59" s="2"/>
      <c r="T59" s="7">
        <v>49000</v>
      </c>
      <c r="U59" s="2"/>
      <c r="V59" s="6">
        <f t="shared" si="33"/>
        <v>0</v>
      </c>
      <c r="W59" s="2"/>
      <c r="X59" s="7">
        <f t="shared" si="34"/>
        <v>-3150</v>
      </c>
      <c r="Y59" s="2"/>
      <c r="Z59" s="6">
        <f t="shared" si="35"/>
        <v>-6.4285714285714279E-2</v>
      </c>
    </row>
    <row r="60" spans="1:26" s="24" customFormat="1" hidden="1" outlineLevel="2" x14ac:dyDescent="0.25">
      <c r="A60" s="26"/>
      <c r="B60" s="11" t="str">
        <f>CONCATENATE("          ", "6334", " - ", "LEGAL COUNCIL EXPENSE")</f>
        <v xml:space="preserve">          6334 - LEGAL COUNCIL EXPENSE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4529.24</v>
      </c>
      <c r="Q60" s="2"/>
      <c r="R60" s="6">
        <f t="shared" si="32"/>
        <v>0</v>
      </c>
      <c r="S60" s="2"/>
      <c r="T60" s="7">
        <v>4500</v>
      </c>
      <c r="U60" s="2"/>
      <c r="V60" s="6">
        <f t="shared" si="33"/>
        <v>0</v>
      </c>
      <c r="W60" s="2"/>
      <c r="X60" s="7">
        <f t="shared" si="34"/>
        <v>29.239999999999782</v>
      </c>
      <c r="Y60" s="2"/>
      <c r="Z60" s="6">
        <f t="shared" si="35"/>
        <v>6.4977777777777291E-3</v>
      </c>
    </row>
    <row r="61" spans="1:26" s="24" customFormat="1" hidden="1" outlineLevel="2" x14ac:dyDescent="0.25">
      <c r="A61" s="26"/>
      <c r="B61" s="11" t="str">
        <f>CONCATENATE("          ", "6336", " - ", "PROFESSIONAL SERVICES")</f>
        <v xml:space="preserve">          6336 - PROFESSIONAL SERVICES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5000</v>
      </c>
      <c r="U61" s="2"/>
      <c r="V61" s="6">
        <f t="shared" si="33"/>
        <v>0</v>
      </c>
      <c r="W61" s="2"/>
      <c r="X61" s="7">
        <f t="shared" si="34"/>
        <v>-5000</v>
      </c>
      <c r="Y61" s="2"/>
      <c r="Z61" s="6">
        <f t="shared" si="35"/>
        <v>-1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SUM(OSRRefD22_11x_0)</f>
        <v>2217.46</v>
      </c>
      <c r="E62" s="1"/>
      <c r="F62" s="5">
        <f t="shared" ref="F62:F64" si="36">IF(D$12=0,0,D62/D$12)</f>
        <v>0</v>
      </c>
      <c r="G62" s="1"/>
      <c r="H62" s="1">
        <f>SUM(OSRRefH22_11x_0)</f>
        <v>2182</v>
      </c>
      <c r="I62" s="1"/>
      <c r="J62" s="5">
        <f t="shared" ref="J62:J64" si="37">IF(H$12=0,0,H62/H$12)</f>
        <v>0</v>
      </c>
      <c r="K62" s="1"/>
      <c r="L62" s="1">
        <f t="shared" ref="L62:L64" si="38">+D62-H62</f>
        <v>35.460000000000036</v>
      </c>
      <c r="M62" s="1"/>
      <c r="N62" s="5">
        <f t="shared" ref="N62:N64" si="39">IF(H62=0,0,L62/H62)</f>
        <v>1.6251145737855195E-2</v>
      </c>
      <c r="O62" s="13"/>
      <c r="P62" s="1">
        <f>SUM(OSRRefP22_11x_0)</f>
        <v>22129.19</v>
      </c>
      <c r="Q62" s="1"/>
      <c r="R62" s="5">
        <f t="shared" ref="R62:R64" si="40">IF(P$12=0,0,P62/P$12)</f>
        <v>0</v>
      </c>
      <c r="S62" s="1"/>
      <c r="T62" s="1">
        <f>SUM(OSRRefT22_11x_0)</f>
        <v>21820</v>
      </c>
      <c r="U62" s="1"/>
      <c r="V62" s="5">
        <f t="shared" ref="V62:V64" si="41">IF(T$12=0,0,T62/T$12)</f>
        <v>0</v>
      </c>
      <c r="W62" s="1"/>
      <c r="X62" s="1">
        <f t="shared" ref="X62:X64" si="42">+P62-T62</f>
        <v>309.18999999999869</v>
      </c>
      <c r="Y62" s="1"/>
      <c r="Z62" s="5">
        <f t="shared" ref="Z62:Z64" si="43">IF(T62=0,0,X62/T62)</f>
        <v>1.4170027497708465E-2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1980</v>
      </c>
      <c r="Q63" s="2"/>
      <c r="R63" s="6">
        <f t="shared" si="40"/>
        <v>0</v>
      </c>
      <c r="S63" s="2"/>
      <c r="T63" s="7"/>
      <c r="U63" s="2"/>
      <c r="V63" s="6">
        <f t="shared" si="41"/>
        <v>0</v>
      </c>
      <c r="W63" s="2"/>
      <c r="X63" s="7">
        <f t="shared" si="42"/>
        <v>1980</v>
      </c>
      <c r="Y63" s="2"/>
      <c r="Z63" s="6">
        <f t="shared" si="43"/>
        <v>0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7">
        <v>2217.46</v>
      </c>
      <c r="E64" s="2"/>
      <c r="F64" s="6">
        <f t="shared" si="36"/>
        <v>0</v>
      </c>
      <c r="G64" s="2"/>
      <c r="H64" s="7">
        <v>2182</v>
      </c>
      <c r="I64" s="2"/>
      <c r="J64" s="6">
        <f t="shared" si="37"/>
        <v>0</v>
      </c>
      <c r="K64" s="2"/>
      <c r="L64" s="7">
        <f t="shared" si="38"/>
        <v>35.460000000000036</v>
      </c>
      <c r="M64" s="2"/>
      <c r="N64" s="6">
        <f t="shared" si="39"/>
        <v>1.6251145737855195E-2</v>
      </c>
      <c r="O64" s="11"/>
      <c r="P64" s="7">
        <v>20149.189999999999</v>
      </c>
      <c r="Q64" s="2"/>
      <c r="R64" s="6">
        <f t="shared" si="40"/>
        <v>0</v>
      </c>
      <c r="S64" s="2"/>
      <c r="T64" s="7">
        <v>21820</v>
      </c>
      <c r="U64" s="2"/>
      <c r="V64" s="6">
        <f t="shared" si="41"/>
        <v>0</v>
      </c>
      <c r="W64" s="2"/>
      <c r="X64" s="7">
        <f t="shared" si="42"/>
        <v>-1670.8100000000013</v>
      </c>
      <c r="Y64" s="2"/>
      <c r="Z64" s="6">
        <f t="shared" si="43"/>
        <v>-7.6572410632447352E-2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4668</v>
      </c>
      <c r="E65" s="1"/>
      <c r="F65" s="5">
        <f t="shared" ref="F65:F70" si="44">IF(D$12=0,0,D65/D$12)</f>
        <v>0</v>
      </c>
      <c r="G65" s="1"/>
      <c r="H65" s="1">
        <f>SUM(OSRRefH22_12x_0)</f>
        <v>4500</v>
      </c>
      <c r="I65" s="1"/>
      <c r="J65" s="5">
        <f t="shared" ref="J65:J70" si="45">IF(H$12=0,0,H65/H$12)</f>
        <v>0</v>
      </c>
      <c r="K65" s="1"/>
      <c r="L65" s="1">
        <f t="shared" ref="L65:L70" si="46">+D65-H65</f>
        <v>168</v>
      </c>
      <c r="M65" s="1"/>
      <c r="N65" s="5">
        <f t="shared" ref="N65:N70" si="47">IF(H65=0,0,L65/H65)</f>
        <v>3.7333333333333336E-2</v>
      </c>
      <c r="O65" s="13"/>
      <c r="P65" s="1">
        <f>SUM(OSRRefP22_12x_0)</f>
        <v>6393</v>
      </c>
      <c r="Q65" s="1"/>
      <c r="R65" s="5">
        <f t="shared" ref="R65:R70" si="48">IF(P$12=0,0,P65/P$12)</f>
        <v>0</v>
      </c>
      <c r="S65" s="1"/>
      <c r="T65" s="1">
        <f>SUM(OSRRefT22_12x_0)</f>
        <v>5750</v>
      </c>
      <c r="U65" s="1"/>
      <c r="V65" s="5">
        <f t="shared" ref="V65:V70" si="49">IF(T$12=0,0,T65/T$12)</f>
        <v>0</v>
      </c>
      <c r="W65" s="1"/>
      <c r="X65" s="1">
        <f t="shared" ref="X65:X70" si="50">+P65-T65</f>
        <v>643</v>
      </c>
      <c r="Y65" s="1"/>
      <c r="Z65" s="5">
        <f t="shared" ref="Z65:Z70" si="51">IF(T65=0,0,X65/T65)</f>
        <v>0.11182608695652174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7">
        <v>4668</v>
      </c>
      <c r="E66" s="2"/>
      <c r="F66" s="6">
        <f t="shared" si="44"/>
        <v>0</v>
      </c>
      <c r="G66" s="2"/>
      <c r="H66" s="7">
        <v>4500</v>
      </c>
      <c r="I66" s="2"/>
      <c r="J66" s="6">
        <f t="shared" si="45"/>
        <v>0</v>
      </c>
      <c r="K66" s="2"/>
      <c r="L66" s="7">
        <f t="shared" si="46"/>
        <v>168</v>
      </c>
      <c r="M66" s="2"/>
      <c r="N66" s="6">
        <f t="shared" si="47"/>
        <v>3.7333333333333336E-2</v>
      </c>
      <c r="O66" s="11"/>
      <c r="P66" s="7">
        <v>6393</v>
      </c>
      <c r="Q66" s="2"/>
      <c r="R66" s="6">
        <f t="shared" si="48"/>
        <v>0</v>
      </c>
      <c r="S66" s="2"/>
      <c r="T66" s="7">
        <v>5750</v>
      </c>
      <c r="U66" s="2"/>
      <c r="V66" s="6">
        <f t="shared" si="49"/>
        <v>0</v>
      </c>
      <c r="W66" s="2"/>
      <c r="X66" s="7">
        <f t="shared" si="50"/>
        <v>643</v>
      </c>
      <c r="Y66" s="2"/>
      <c r="Z66" s="6">
        <f t="shared" si="51"/>
        <v>0.11182608695652174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0</v>
      </c>
      <c r="E67" s="1"/>
      <c r="F67" s="5">
        <f t="shared" si="44"/>
        <v>0</v>
      </c>
      <c r="G67" s="1"/>
      <c r="H67" s="1">
        <f>SUM(OSRRefH22_13x_0)</f>
        <v>1000</v>
      </c>
      <c r="I67" s="1"/>
      <c r="J67" s="5">
        <f t="shared" si="45"/>
        <v>0</v>
      </c>
      <c r="K67" s="1"/>
      <c r="L67" s="1">
        <f t="shared" si="46"/>
        <v>-1000</v>
      </c>
      <c r="M67" s="1"/>
      <c r="N67" s="5">
        <f t="shared" si="47"/>
        <v>-1</v>
      </c>
      <c r="O67" s="13"/>
      <c r="P67" s="1">
        <f>SUM(OSRRefP22_13x_0)</f>
        <v>643.69000000000005</v>
      </c>
      <c r="Q67" s="1"/>
      <c r="R67" s="5">
        <f t="shared" si="48"/>
        <v>0</v>
      </c>
      <c r="S67" s="1"/>
      <c r="T67" s="1">
        <f>SUM(OSRRefT22_13x_0)</f>
        <v>14000</v>
      </c>
      <c r="U67" s="1"/>
      <c r="V67" s="5">
        <f t="shared" si="49"/>
        <v>0</v>
      </c>
      <c r="W67" s="1"/>
      <c r="X67" s="1">
        <f t="shared" si="50"/>
        <v>-13356.31</v>
      </c>
      <c r="Y67" s="1"/>
      <c r="Z67" s="5">
        <f t="shared" si="51"/>
        <v>-0.95402214285714282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>
        <v>1000</v>
      </c>
      <c r="I68" s="2"/>
      <c r="J68" s="6">
        <f t="shared" si="45"/>
        <v>0</v>
      </c>
      <c r="K68" s="2"/>
      <c r="L68" s="7">
        <f t="shared" si="46"/>
        <v>-1000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10000</v>
      </c>
      <c r="U68" s="2"/>
      <c r="V68" s="6">
        <f t="shared" si="49"/>
        <v>0</v>
      </c>
      <c r="W68" s="2"/>
      <c r="X68" s="7">
        <f t="shared" si="50"/>
        <v>-10000</v>
      </c>
      <c r="Y68" s="2"/>
      <c r="Z68" s="6">
        <f t="shared" si="51"/>
        <v>-1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106.94</v>
      </c>
      <c r="Q69" s="2"/>
      <c r="R69" s="6">
        <f t="shared" si="48"/>
        <v>0</v>
      </c>
      <c r="S69" s="2"/>
      <c r="T69" s="7">
        <v>1500</v>
      </c>
      <c r="U69" s="2"/>
      <c r="V69" s="6">
        <f t="shared" si="49"/>
        <v>0</v>
      </c>
      <c r="W69" s="2"/>
      <c r="X69" s="7">
        <f t="shared" si="50"/>
        <v>-1393.06</v>
      </c>
      <c r="Y69" s="2"/>
      <c r="Z69" s="6">
        <f t="shared" si="51"/>
        <v>-0.92870666666666668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536.75</v>
      </c>
      <c r="Q70" s="2"/>
      <c r="R70" s="6">
        <f t="shared" si="48"/>
        <v>0</v>
      </c>
      <c r="S70" s="2"/>
      <c r="T70" s="7">
        <v>2500</v>
      </c>
      <c r="U70" s="2"/>
      <c r="V70" s="6">
        <f t="shared" si="49"/>
        <v>0</v>
      </c>
      <c r="W70" s="2"/>
      <c r="X70" s="7">
        <f t="shared" si="50"/>
        <v>-1963.25</v>
      </c>
      <c r="Y70" s="2"/>
      <c r="Z70" s="6">
        <f t="shared" si="51"/>
        <v>-0.7853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245.31</v>
      </c>
      <c r="E71" s="1"/>
      <c r="F71" s="5">
        <f t="shared" ref="F71:F76" si="52">IF(D$12=0,0,D71/D$12)</f>
        <v>0</v>
      </c>
      <c r="G71" s="1"/>
      <c r="H71" s="1">
        <f>SUM(OSRRefH22_14x_0)</f>
        <v>350</v>
      </c>
      <c r="I71" s="1"/>
      <c r="J71" s="5">
        <f t="shared" ref="J71:J76" si="53">IF(H$12=0,0,H71/H$12)</f>
        <v>0</v>
      </c>
      <c r="K71" s="1"/>
      <c r="L71" s="1">
        <f t="shared" ref="L71:L76" si="54">+D71-H71</f>
        <v>-104.69</v>
      </c>
      <c r="M71" s="1"/>
      <c r="N71" s="5">
        <f t="shared" ref="N71:N76" si="55">IF(H71=0,0,L71/H71)</f>
        <v>-0.29911428571428572</v>
      </c>
      <c r="O71" s="13"/>
      <c r="P71" s="1">
        <f>SUM(OSRRefP22_14x_0)</f>
        <v>3969.62</v>
      </c>
      <c r="Q71" s="1"/>
      <c r="R71" s="5">
        <f t="shared" ref="R71:R76" si="56">IF(P$12=0,0,P71/P$12)</f>
        <v>0</v>
      </c>
      <c r="S71" s="1"/>
      <c r="T71" s="1">
        <f>SUM(OSRRefT22_14x_0)</f>
        <v>3500</v>
      </c>
      <c r="U71" s="1"/>
      <c r="V71" s="5">
        <f t="shared" ref="V71:V76" si="57">IF(T$12=0,0,T71/T$12)</f>
        <v>0</v>
      </c>
      <c r="W71" s="1"/>
      <c r="X71" s="1">
        <f t="shared" ref="X71:X76" si="58">+P71-T71</f>
        <v>469.61999999999989</v>
      </c>
      <c r="Y71" s="1"/>
      <c r="Z71" s="5">
        <f t="shared" ref="Z71:Z76" si="59">IF(T71=0,0,X71/T71)</f>
        <v>0.13417714285714283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245.31</v>
      </c>
      <c r="E72" s="2"/>
      <c r="F72" s="6">
        <f t="shared" si="52"/>
        <v>0</v>
      </c>
      <c r="G72" s="2"/>
      <c r="H72" s="7">
        <v>350</v>
      </c>
      <c r="I72" s="2"/>
      <c r="J72" s="6">
        <f t="shared" si="53"/>
        <v>0</v>
      </c>
      <c r="K72" s="2"/>
      <c r="L72" s="7">
        <f t="shared" si="54"/>
        <v>-104.69</v>
      </c>
      <c r="M72" s="2"/>
      <c r="N72" s="6">
        <f t="shared" si="55"/>
        <v>-0.29911428571428572</v>
      </c>
      <c r="O72" s="11"/>
      <c r="P72" s="7">
        <v>3969.62</v>
      </c>
      <c r="Q72" s="2"/>
      <c r="R72" s="6">
        <f t="shared" si="56"/>
        <v>0</v>
      </c>
      <c r="S72" s="2"/>
      <c r="T72" s="7">
        <v>3500</v>
      </c>
      <c r="U72" s="2"/>
      <c r="V72" s="6">
        <f t="shared" si="57"/>
        <v>0</v>
      </c>
      <c r="W72" s="2"/>
      <c r="X72" s="7">
        <f t="shared" si="58"/>
        <v>469.61999999999989</v>
      </c>
      <c r="Y72" s="2"/>
      <c r="Z72" s="6">
        <f t="shared" si="59"/>
        <v>0.13417714285714283</v>
      </c>
    </row>
    <row r="73" spans="1:26" s="25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3000</v>
      </c>
      <c r="E73" s="1"/>
      <c r="F73" s="5">
        <f t="shared" si="52"/>
        <v>0</v>
      </c>
      <c r="G73" s="1"/>
      <c r="H73" s="1">
        <f>SUM(OSRRefH22_15x_0)</f>
        <v>500</v>
      </c>
      <c r="I73" s="1"/>
      <c r="J73" s="5">
        <f t="shared" si="53"/>
        <v>0</v>
      </c>
      <c r="K73" s="1"/>
      <c r="L73" s="1">
        <f t="shared" si="54"/>
        <v>2500</v>
      </c>
      <c r="M73" s="1"/>
      <c r="N73" s="5">
        <f t="shared" si="55"/>
        <v>5</v>
      </c>
      <c r="O73" s="13"/>
      <c r="P73" s="1">
        <f>SUM(OSRRefP22_15x_0)</f>
        <v>4276.5</v>
      </c>
      <c r="Q73" s="1"/>
      <c r="R73" s="5">
        <f t="shared" si="56"/>
        <v>0</v>
      </c>
      <c r="S73" s="1"/>
      <c r="T73" s="1">
        <f>SUM(OSRRefT22_15x_0)</f>
        <v>5000</v>
      </c>
      <c r="U73" s="1"/>
      <c r="V73" s="5">
        <f t="shared" si="57"/>
        <v>0</v>
      </c>
      <c r="W73" s="1"/>
      <c r="X73" s="1">
        <f t="shared" si="58"/>
        <v>-723.5</v>
      </c>
      <c r="Y73" s="1"/>
      <c r="Z73" s="5">
        <f t="shared" si="59"/>
        <v>-0.1447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7">
        <v>3000</v>
      </c>
      <c r="E74" s="2"/>
      <c r="F74" s="6">
        <f t="shared" si="52"/>
        <v>0</v>
      </c>
      <c r="G74" s="2"/>
      <c r="H74" s="7">
        <v>500</v>
      </c>
      <c r="I74" s="2"/>
      <c r="J74" s="6">
        <f t="shared" si="53"/>
        <v>0</v>
      </c>
      <c r="K74" s="2"/>
      <c r="L74" s="7">
        <f t="shared" si="54"/>
        <v>2500</v>
      </c>
      <c r="M74" s="2"/>
      <c r="N74" s="6">
        <f t="shared" si="55"/>
        <v>5</v>
      </c>
      <c r="O74" s="11"/>
      <c r="P74" s="7">
        <v>4276.5</v>
      </c>
      <c r="Q74" s="2"/>
      <c r="R74" s="6">
        <f t="shared" si="56"/>
        <v>0</v>
      </c>
      <c r="S74" s="2"/>
      <c r="T74" s="7">
        <v>5000</v>
      </c>
      <c r="U74" s="2"/>
      <c r="V74" s="6">
        <f t="shared" si="57"/>
        <v>0</v>
      </c>
      <c r="W74" s="2"/>
      <c r="X74" s="7">
        <f t="shared" si="58"/>
        <v>-723.5</v>
      </c>
      <c r="Y74" s="2"/>
      <c r="Z74" s="6">
        <f t="shared" si="59"/>
        <v>-0.1447</v>
      </c>
    </row>
    <row r="75" spans="1:26" s="25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0</v>
      </c>
      <c r="E75" s="1"/>
      <c r="F75" s="5">
        <f t="shared" si="52"/>
        <v>0</v>
      </c>
      <c r="G75" s="1"/>
      <c r="H75" s="1">
        <f>SUM(OSRRefH22_16x_0)</f>
        <v>2000</v>
      </c>
      <c r="I75" s="1"/>
      <c r="J75" s="5">
        <f t="shared" si="53"/>
        <v>0</v>
      </c>
      <c r="K75" s="1"/>
      <c r="L75" s="1">
        <f t="shared" si="54"/>
        <v>-2000</v>
      </c>
      <c r="M75" s="1"/>
      <c r="N75" s="5">
        <f t="shared" si="55"/>
        <v>-1</v>
      </c>
      <c r="O75" s="13"/>
      <c r="P75" s="1">
        <f>SUM(OSRRefP22_16x_0)</f>
        <v>0</v>
      </c>
      <c r="Q75" s="1"/>
      <c r="R75" s="5">
        <f t="shared" si="56"/>
        <v>0</v>
      </c>
      <c r="S75" s="1"/>
      <c r="T75" s="1">
        <f>SUM(OSRRefT22_16x_0)</f>
        <v>3600</v>
      </c>
      <c r="U75" s="1"/>
      <c r="V75" s="5">
        <f t="shared" si="57"/>
        <v>0</v>
      </c>
      <c r="W75" s="1"/>
      <c r="X75" s="1">
        <f t="shared" si="58"/>
        <v>-3600</v>
      </c>
      <c r="Y75" s="1"/>
      <c r="Z75" s="5">
        <f t="shared" si="59"/>
        <v>-1</v>
      </c>
    </row>
    <row r="76" spans="1:26" s="24" customFormat="1" hidden="1" outlineLevel="2" x14ac:dyDescent="0.25">
      <c r="A76" s="26"/>
      <c r="B76" s="11" t="str">
        <f>CONCATENATE("          ", "6294", " - ", "TRAVEL OPERATIONAL")</f>
        <v xml:space="preserve">          6294 - TRAVEL OPERATIONAL</v>
      </c>
      <c r="C76" s="11"/>
      <c r="D76" s="7"/>
      <c r="E76" s="2"/>
      <c r="F76" s="6">
        <f t="shared" si="52"/>
        <v>0</v>
      </c>
      <c r="G76" s="2"/>
      <c r="H76" s="7">
        <v>2000</v>
      </c>
      <c r="I76" s="2"/>
      <c r="J76" s="6">
        <f t="shared" si="53"/>
        <v>0</v>
      </c>
      <c r="K76" s="2"/>
      <c r="L76" s="7">
        <f t="shared" si="54"/>
        <v>-2000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3600</v>
      </c>
      <c r="U76" s="2"/>
      <c r="V76" s="6">
        <f t="shared" si="57"/>
        <v>0</v>
      </c>
      <c r="W76" s="2"/>
      <c r="X76" s="7">
        <f t="shared" si="58"/>
        <v>-3600</v>
      </c>
      <c r="Y76" s="2"/>
      <c r="Z76" s="6">
        <f t="shared" si="59"/>
        <v>-1</v>
      </c>
    </row>
    <row r="77" spans="1:26" s="61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277</v>
      </c>
      <c r="C80" s="28"/>
      <c r="D80" s="21">
        <f>+D17-D19+D78</f>
        <v>-46371.579999999994</v>
      </c>
      <c r="E80" s="14"/>
      <c r="F80" s="20">
        <f>IF(D$12=0,0,D80/D$12)</f>
        <v>0</v>
      </c>
      <c r="G80" s="14"/>
      <c r="H80" s="21">
        <f>+H17-H19+H78</f>
        <v>-45286.947384615363</v>
      </c>
      <c r="I80" s="14"/>
      <c r="J80" s="20">
        <f>IF(H$12=0,0,H80/H$12)</f>
        <v>0</v>
      </c>
      <c r="K80" s="16"/>
      <c r="L80" s="21">
        <f>+D80-H80</f>
        <v>-1084.6326153846312</v>
      </c>
      <c r="M80" s="16"/>
      <c r="N80" s="20">
        <f>IF(H80=0,0,L80/H80)</f>
        <v>2.3950225794046272E-2</v>
      </c>
      <c r="O80" s="29"/>
      <c r="P80" s="21">
        <f>+P17-P19+P78</f>
        <v>-379487.04</v>
      </c>
      <c r="Q80" s="14"/>
      <c r="R80" s="20">
        <f>IF(P$12=0,0,P80/P$12)</f>
        <v>0</v>
      </c>
      <c r="S80" s="14"/>
      <c r="T80" s="21">
        <f>+T17-T19+T78</f>
        <v>-457354.61578461539</v>
      </c>
      <c r="U80" s="14"/>
      <c r="V80" s="20">
        <f>IF(T$12=0,0,T80/T$12)</f>
        <v>0</v>
      </c>
      <c r="W80" s="16"/>
      <c r="X80" s="21">
        <f>+P80-T80</f>
        <v>77867.575784615416</v>
      </c>
      <c r="Y80" s="16"/>
      <c r="Z80" s="20">
        <f>IF(T80=0,0,X80/T80)</f>
        <v>-0.17025645548811086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126</v>
      </c>
      <c r="C84" s="28"/>
      <c r="D84" s="31">
        <f>+D80-D82</f>
        <v>-46371.579999999994</v>
      </c>
      <c r="E84" s="14"/>
      <c r="F84" s="33">
        <f>IF(D$12=0,0,D84/D$12)</f>
        <v>0</v>
      </c>
      <c r="G84" s="14"/>
      <c r="H84" s="31">
        <f>+H80-H82</f>
        <v>-45286.947384615363</v>
      </c>
      <c r="I84" s="14"/>
      <c r="J84" s="33">
        <f>IF(H$12=0,0,H84/H$12)</f>
        <v>0</v>
      </c>
      <c r="K84" s="16"/>
      <c r="L84" s="31">
        <f>D84-H84</f>
        <v>-1084.6326153846312</v>
      </c>
      <c r="M84" s="16"/>
      <c r="N84" s="33">
        <f>IF(H84=0,0,L84/H84)</f>
        <v>2.3950225794046272E-2</v>
      </c>
      <c r="O84" s="29"/>
      <c r="P84" s="31">
        <f>+P80-P82</f>
        <v>-379487.04</v>
      </c>
      <c r="Q84" s="14"/>
      <c r="R84" s="33">
        <f>IF(P$12=0,0,P84/P$12)</f>
        <v>0</v>
      </c>
      <c r="S84" s="14"/>
      <c r="T84" s="31">
        <f>+T80-T82</f>
        <v>-457354.61578461539</v>
      </c>
      <c r="U84" s="14"/>
      <c r="V84" s="33">
        <f>IF(T$12=0,0,T84/T$12)</f>
        <v>0</v>
      </c>
      <c r="W84" s="16"/>
      <c r="X84" s="31">
        <f>P84-T84</f>
        <v>77867.575784615416</v>
      </c>
      <c r="Y84" s="16"/>
      <c r="Z84" s="33">
        <f>IF(T84=0,0,X84/T84)</f>
        <v>-0.17025645548811086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294</v>
      </c>
      <c r="C87" s="28"/>
      <c r="D87" s="34">
        <f>SUM(D84:D86)</f>
        <v>-46371.579999999994</v>
      </c>
      <c r="E87" s="14"/>
      <c r="F87" s="35">
        <f>IF(D$12=0,0,D87/D$12)</f>
        <v>0</v>
      </c>
      <c r="G87" s="14"/>
      <c r="H87" s="34">
        <f>SUM(H84:H86)</f>
        <v>-45286.947384615363</v>
      </c>
      <c r="I87" s="14"/>
      <c r="J87" s="35">
        <f>IF(H$12=0,0,H87/H$12)</f>
        <v>0</v>
      </c>
      <c r="K87" s="16"/>
      <c r="L87" s="34">
        <f>+D87-H87</f>
        <v>-1084.6326153846312</v>
      </c>
      <c r="M87" s="16"/>
      <c r="N87" s="35">
        <f>IF(H87=0,0,L87/H87)</f>
        <v>2.3950225794046272E-2</v>
      </c>
      <c r="O87" s="29"/>
      <c r="P87" s="34">
        <f>SUM(P84:P86)</f>
        <v>-379487.04</v>
      </c>
      <c r="Q87" s="14"/>
      <c r="R87" s="35">
        <f>IF(P$12=0,0,P87/P$12)</f>
        <v>0</v>
      </c>
      <c r="S87" s="14"/>
      <c r="T87" s="34">
        <f>SUM(T84:T86)</f>
        <v>-457354.61578461539</v>
      </c>
      <c r="U87" s="14"/>
      <c r="V87" s="35">
        <f>IF(T$12=0,0,T87/T$12)</f>
        <v>0</v>
      </c>
      <c r="W87" s="16"/>
      <c r="X87" s="34">
        <f>+P87-T87</f>
        <v>77867.575784615416</v>
      </c>
      <c r="Y87" s="16"/>
      <c r="Z87" s="35">
        <f>IF(T87=0,0,X87/T87)</f>
        <v>-0.17025645548811086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2">
        <v>44330.0058283912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6" t="s">
        <v>56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5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D12-D15</f>
        <v>0</v>
      </c>
      <c r="E17" s="14"/>
      <c r="F17" s="20">
        <f>IF(D$12=0,0,D17/D$12)</f>
        <v>0</v>
      </c>
      <c r="G17" s="14"/>
      <c r="H17" s="21">
        <f>H12-H15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9"/>
      <c r="P17" s="21">
        <f>P12-P15</f>
        <v>0</v>
      </c>
      <c r="Q17" s="14"/>
      <c r="R17" s="20">
        <f>IF(P$12=0,0,P17/P$12)</f>
        <v>0</v>
      </c>
      <c r="S17" s="14"/>
      <c r="T17" s="21">
        <f>T12-T15</f>
        <v>0</v>
      </c>
      <c r="U17" s="14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39295.32</v>
      </c>
      <c r="E19" s="22"/>
      <c r="F19" s="32">
        <f t="shared" ref="F19:F29" si="4">IF(D$12=0,0,D19/D$12)</f>
        <v>0</v>
      </c>
      <c r="G19" s="22"/>
      <c r="H19" s="22">
        <f>SUM(OSRRefH22x_0)</f>
        <v>42076.853119230786</v>
      </c>
      <c r="I19" s="22"/>
      <c r="J19" s="32">
        <f t="shared" ref="J19:J29" si="5">IF(H$12=0,0,H19/H$12)</f>
        <v>0</v>
      </c>
      <c r="K19" s="4"/>
      <c r="L19" s="22">
        <f t="shared" ref="L19:L29" si="6">+D19-H19</f>
        <v>-2781.5331192307858</v>
      </c>
      <c r="M19" s="4"/>
      <c r="N19" s="32">
        <f t="shared" ref="N19:N29" si="7">IF(H19=0,0,L19/H19)</f>
        <v>-6.6106015850304053E-2</v>
      </c>
      <c r="O19" s="10"/>
      <c r="P19" s="22">
        <f>SUM(OSRRefP22x_0)</f>
        <v>417060.2699999999</v>
      </c>
      <c r="Q19" s="22"/>
      <c r="R19" s="32">
        <f t="shared" ref="R19:R29" si="8">IF(P$12=0,0,P19/P$12)</f>
        <v>0</v>
      </c>
      <c r="S19" s="22"/>
      <c r="T19" s="22">
        <f>SUM(OSRRefT22x_0)</f>
        <v>419102.64672923123</v>
      </c>
      <c r="U19" s="22"/>
      <c r="V19" s="32">
        <f t="shared" ref="V19:V29" si="9">IF(T$12=0,0,T19/T$12)</f>
        <v>0</v>
      </c>
      <c r="W19" s="4"/>
      <c r="X19" s="22">
        <f t="shared" ref="X19:X29" si="10">+P19-T19</f>
        <v>-2042.3767292313278</v>
      </c>
      <c r="Y19" s="4"/>
      <c r="Z19" s="32">
        <f t="shared" ref="Z19:Z29" si="11">IF(T19=0,0,X19/T19)</f>
        <v>-4.8732136271877136E-3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14986.869999999999</v>
      </c>
      <c r="E20" s="1"/>
      <c r="F20" s="5">
        <f t="shared" si="4"/>
        <v>0</v>
      </c>
      <c r="G20" s="1"/>
      <c r="H20" s="1">
        <f>SUM(OSRRefH22_0x_0)</f>
        <v>13249.583888461551</v>
      </c>
      <c r="I20" s="1"/>
      <c r="J20" s="5">
        <f t="shared" si="5"/>
        <v>0</v>
      </c>
      <c r="K20" s="1"/>
      <c r="L20" s="1">
        <f t="shared" si="6"/>
        <v>1737.2861115384476</v>
      </c>
      <c r="M20" s="1"/>
      <c r="N20" s="5">
        <f t="shared" si="7"/>
        <v>0.13112005072486613</v>
      </c>
      <c r="O20" s="13"/>
      <c r="P20" s="1">
        <f>SUM(OSRRefP22_0x_0)</f>
        <v>134062.5</v>
      </c>
      <c r="Q20" s="1"/>
      <c r="R20" s="5">
        <f t="shared" si="8"/>
        <v>0</v>
      </c>
      <c r="S20" s="1"/>
      <c r="T20" s="1">
        <f>SUM(OSRRefT22_0x_0)</f>
        <v>122843.47749846167</v>
      </c>
      <c r="U20" s="1"/>
      <c r="V20" s="5">
        <f t="shared" si="9"/>
        <v>0</v>
      </c>
      <c r="W20" s="1"/>
      <c r="X20" s="1">
        <f t="shared" si="10"/>
        <v>11219.022501538333</v>
      </c>
      <c r="Y20" s="1"/>
      <c r="Z20" s="5">
        <f t="shared" si="11"/>
        <v>9.1327783371150703E-2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2448.02</v>
      </c>
      <c r="E21" s="2"/>
      <c r="F21" s="6">
        <f t="shared" si="4"/>
        <v>0</v>
      </c>
      <c r="G21" s="2"/>
      <c r="H21" s="7">
        <v>2031.7243269230801</v>
      </c>
      <c r="I21" s="2"/>
      <c r="J21" s="6">
        <f t="shared" si="5"/>
        <v>0</v>
      </c>
      <c r="K21" s="2"/>
      <c r="L21" s="7">
        <f t="shared" si="6"/>
        <v>416.29567307691991</v>
      </c>
      <c r="M21" s="2"/>
      <c r="N21" s="6">
        <f t="shared" si="7"/>
        <v>0.20489771548257915</v>
      </c>
      <c r="O21" s="11"/>
      <c r="P21" s="7">
        <v>19139.77</v>
      </c>
      <c r="Q21" s="2"/>
      <c r="R21" s="6">
        <f t="shared" si="8"/>
        <v>0</v>
      </c>
      <c r="S21" s="2"/>
      <c r="T21" s="7">
        <v>17879.1740769231</v>
      </c>
      <c r="U21" s="2"/>
      <c r="V21" s="6">
        <f t="shared" si="9"/>
        <v>0</v>
      </c>
      <c r="W21" s="2"/>
      <c r="X21" s="7">
        <f t="shared" si="10"/>
        <v>1260.5959230769004</v>
      </c>
      <c r="Y21" s="2"/>
      <c r="Z21" s="6">
        <f t="shared" si="11"/>
        <v>7.0506384559674326E-2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70.319999999999993</v>
      </c>
      <c r="E22" s="2"/>
      <c r="F22" s="6">
        <f t="shared" si="4"/>
        <v>0</v>
      </c>
      <c r="G22" s="2"/>
      <c r="H22" s="7">
        <v>92.241853846153901</v>
      </c>
      <c r="I22" s="2"/>
      <c r="J22" s="6">
        <f t="shared" si="5"/>
        <v>0</v>
      </c>
      <c r="K22" s="2"/>
      <c r="L22" s="7">
        <f t="shared" si="6"/>
        <v>-21.921853846153908</v>
      </c>
      <c r="M22" s="2"/>
      <c r="N22" s="6">
        <f t="shared" si="7"/>
        <v>-0.23765625832625173</v>
      </c>
      <c r="O22" s="11"/>
      <c r="P22" s="7">
        <v>788.53</v>
      </c>
      <c r="Q22" s="2"/>
      <c r="R22" s="6">
        <f t="shared" si="8"/>
        <v>0</v>
      </c>
      <c r="S22" s="2"/>
      <c r="T22" s="7">
        <v>805.65367384615399</v>
      </c>
      <c r="U22" s="2"/>
      <c r="V22" s="6">
        <f t="shared" si="9"/>
        <v>0</v>
      </c>
      <c r="W22" s="2"/>
      <c r="X22" s="7">
        <f t="shared" si="10"/>
        <v>-17.12367384615402</v>
      </c>
      <c r="Y22" s="2"/>
      <c r="Z22" s="6">
        <f t="shared" si="11"/>
        <v>-2.1254385602694988E-2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6236.66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821.65999999999985</v>
      </c>
      <c r="M23" s="2"/>
      <c r="N23" s="6">
        <f t="shared" si="7"/>
        <v>0.1517377654662973</v>
      </c>
      <c r="O23" s="11"/>
      <c r="P23" s="7">
        <v>60387.92</v>
      </c>
      <c r="Q23" s="2"/>
      <c r="R23" s="6">
        <f t="shared" si="8"/>
        <v>0</v>
      </c>
      <c r="S23" s="2"/>
      <c r="T23" s="7">
        <v>54150</v>
      </c>
      <c r="U23" s="2"/>
      <c r="V23" s="6">
        <f t="shared" si="9"/>
        <v>0</v>
      </c>
      <c r="W23" s="2"/>
      <c r="X23" s="7">
        <f t="shared" si="10"/>
        <v>6237.9199999999983</v>
      </c>
      <c r="Y23" s="2"/>
      <c r="Z23" s="6">
        <f t="shared" si="11"/>
        <v>0.11519704524469064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55.4</v>
      </c>
      <c r="E24" s="2"/>
      <c r="F24" s="6">
        <f t="shared" si="4"/>
        <v>0</v>
      </c>
      <c r="G24" s="2"/>
      <c r="H24" s="7">
        <v>72.675399999999996</v>
      </c>
      <c r="I24" s="2"/>
      <c r="J24" s="6">
        <f t="shared" si="5"/>
        <v>0</v>
      </c>
      <c r="K24" s="2"/>
      <c r="L24" s="7">
        <f t="shared" si="6"/>
        <v>-17.275399999999998</v>
      </c>
      <c r="M24" s="2"/>
      <c r="N24" s="6">
        <f t="shared" si="7"/>
        <v>-0.23770629401420562</v>
      </c>
      <c r="O24" s="11"/>
      <c r="P24" s="7">
        <v>621.23</v>
      </c>
      <c r="Q24" s="2"/>
      <c r="R24" s="6">
        <f t="shared" si="8"/>
        <v>0</v>
      </c>
      <c r="S24" s="2"/>
      <c r="T24" s="7">
        <v>634.75743999999997</v>
      </c>
      <c r="U24" s="2"/>
      <c r="V24" s="6">
        <f t="shared" si="9"/>
        <v>0</v>
      </c>
      <c r="W24" s="2"/>
      <c r="X24" s="7">
        <f t="shared" si="10"/>
        <v>-13.527439999999956</v>
      </c>
      <c r="Y24" s="2"/>
      <c r="Z24" s="6">
        <f t="shared" si="11"/>
        <v>-2.1311195659242617E-2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1978.76</v>
      </c>
      <c r="E25" s="2"/>
      <c r="F25" s="6">
        <f t="shared" si="4"/>
        <v>0</v>
      </c>
      <c r="G25" s="2"/>
      <c r="H25" s="7">
        <v>2283.1346153846198</v>
      </c>
      <c r="I25" s="2"/>
      <c r="J25" s="6">
        <f t="shared" si="5"/>
        <v>0</v>
      </c>
      <c r="K25" s="2"/>
      <c r="L25" s="7">
        <f t="shared" si="6"/>
        <v>-304.3746153846198</v>
      </c>
      <c r="M25" s="2"/>
      <c r="N25" s="6">
        <f t="shared" si="7"/>
        <v>-0.13331435357934182</v>
      </c>
      <c r="O25" s="11"/>
      <c r="P25" s="7">
        <v>22617.67</v>
      </c>
      <c r="Q25" s="2"/>
      <c r="R25" s="6">
        <f t="shared" si="8"/>
        <v>0</v>
      </c>
      <c r="S25" s="2"/>
      <c r="T25" s="7">
        <v>20091.5846153846</v>
      </c>
      <c r="U25" s="2"/>
      <c r="V25" s="6">
        <f t="shared" si="9"/>
        <v>0</v>
      </c>
      <c r="W25" s="2"/>
      <c r="X25" s="7">
        <f t="shared" si="10"/>
        <v>2526.0853846153987</v>
      </c>
      <c r="Y25" s="2"/>
      <c r="Z25" s="6">
        <f t="shared" si="11"/>
        <v>0.12572852928091674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2409.15</v>
      </c>
      <c r="E27" s="2"/>
      <c r="F27" s="6">
        <f t="shared" si="4"/>
        <v>0</v>
      </c>
      <c r="G27" s="2"/>
      <c r="H27" s="7">
        <v>1327.4038461538501</v>
      </c>
      <c r="I27" s="2"/>
      <c r="J27" s="6">
        <f t="shared" si="5"/>
        <v>0</v>
      </c>
      <c r="K27" s="2"/>
      <c r="L27" s="7">
        <f t="shared" si="6"/>
        <v>1081.74615384615</v>
      </c>
      <c r="M27" s="2"/>
      <c r="N27" s="6">
        <f t="shared" si="7"/>
        <v>0.81493371966678219</v>
      </c>
      <c r="O27" s="11"/>
      <c r="P27" s="7">
        <v>17325.12</v>
      </c>
      <c r="Q27" s="2"/>
      <c r="R27" s="6">
        <f t="shared" si="8"/>
        <v>0</v>
      </c>
      <c r="S27" s="2"/>
      <c r="T27" s="7">
        <v>11681.1538461539</v>
      </c>
      <c r="U27" s="2"/>
      <c r="V27" s="6">
        <f t="shared" si="9"/>
        <v>0</v>
      </c>
      <c r="W27" s="2"/>
      <c r="X27" s="7">
        <f t="shared" si="10"/>
        <v>5643.9661538460987</v>
      </c>
      <c r="Y27" s="2"/>
      <c r="Z27" s="6">
        <f t="shared" si="11"/>
        <v>0.48316854894471006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1469.13</v>
      </c>
      <c r="E28" s="2"/>
      <c r="F28" s="6">
        <f t="shared" si="4"/>
        <v>0</v>
      </c>
      <c r="G28" s="2"/>
      <c r="H28" s="7">
        <v>1327.4038461538501</v>
      </c>
      <c r="I28" s="2"/>
      <c r="J28" s="6">
        <f t="shared" si="5"/>
        <v>0</v>
      </c>
      <c r="K28" s="2"/>
      <c r="L28" s="7">
        <f t="shared" si="6"/>
        <v>141.72615384615005</v>
      </c>
      <c r="M28" s="2"/>
      <c r="N28" s="6">
        <f t="shared" si="7"/>
        <v>0.10676943136544413</v>
      </c>
      <c r="O28" s="11"/>
      <c r="P28" s="7">
        <v>10773.62</v>
      </c>
      <c r="Q28" s="2"/>
      <c r="R28" s="6">
        <f t="shared" si="8"/>
        <v>0</v>
      </c>
      <c r="S28" s="2"/>
      <c r="T28" s="7">
        <v>11681.1538461539</v>
      </c>
      <c r="U28" s="2"/>
      <c r="V28" s="6">
        <f t="shared" si="9"/>
        <v>0</v>
      </c>
      <c r="W28" s="2"/>
      <c r="X28" s="7">
        <f t="shared" si="10"/>
        <v>-907.5338461538995</v>
      </c>
      <c r="Y28" s="2"/>
      <c r="Z28" s="6">
        <f t="shared" si="11"/>
        <v>-7.7692140528798123E-2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319.43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-380.57</v>
      </c>
      <c r="M29" s="2"/>
      <c r="N29" s="6">
        <f t="shared" si="7"/>
        <v>-0.54367142857142858</v>
      </c>
      <c r="O29" s="11"/>
      <c r="P29" s="7">
        <v>2408.64</v>
      </c>
      <c r="Q29" s="2"/>
      <c r="R29" s="6">
        <f t="shared" si="8"/>
        <v>0</v>
      </c>
      <c r="S29" s="2"/>
      <c r="T29" s="7">
        <v>5920</v>
      </c>
      <c r="U29" s="2"/>
      <c r="V29" s="6">
        <f t="shared" si="9"/>
        <v>0</v>
      </c>
      <c r="W29" s="2"/>
      <c r="X29" s="7">
        <f t="shared" si="10"/>
        <v>-3511.36</v>
      </c>
      <c r="Y29" s="2"/>
      <c r="Z29" s="6">
        <f t="shared" si="11"/>
        <v>-0.59313513513513516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21432.38</v>
      </c>
      <c r="E30" s="1"/>
      <c r="F30" s="5">
        <f t="shared" ref="F30:F40" si="12">IF(D$12=0,0,D30/D$12)</f>
        <v>0</v>
      </c>
      <c r="G30" s="1"/>
      <c r="H30" s="1">
        <f>SUM(OSRRefH22_1x_0)</f>
        <v>25297.269230769238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-3864.8892307692367</v>
      </c>
      <c r="M30" s="1"/>
      <c r="N30" s="5">
        <f t="shared" ref="N30:N40" si="15">IF(H30=0,0,L30/H30)</f>
        <v>-0.15277891046312406</v>
      </c>
      <c r="O30" s="13"/>
      <c r="P30" s="1">
        <f>SUM(OSRRefP22_1x_0)</f>
        <v>213194.76</v>
      </c>
      <c r="Q30" s="1"/>
      <c r="R30" s="5">
        <f t="shared" ref="R30:R40" si="16">IF(P$12=0,0,P30/P$12)</f>
        <v>0</v>
      </c>
      <c r="S30" s="1"/>
      <c r="T30" s="1">
        <f>SUM(OSRRefT22_1x_0)</f>
        <v>220775.1692307695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-7580.4092307694955</v>
      </c>
      <c r="Y30" s="1"/>
      <c r="Z30" s="5">
        <f t="shared" ref="Z30:Z40" si="19">IF(T30=0,0,X30/T30)</f>
        <v>-3.4335424845019259E-2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6775.9615384615399</v>
      </c>
      <c r="I31" s="2"/>
      <c r="J31" s="6">
        <f t="shared" si="13"/>
        <v>0</v>
      </c>
      <c r="K31" s="2"/>
      <c r="L31" s="7">
        <f t="shared" si="14"/>
        <v>-6775.9615384615399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59628.461538461503</v>
      </c>
      <c r="U31" s="2"/>
      <c r="V31" s="6">
        <f t="shared" si="17"/>
        <v>0</v>
      </c>
      <c r="W31" s="2"/>
      <c r="X31" s="7">
        <f t="shared" si="18"/>
        <v>-59628.461538461503</v>
      </c>
      <c r="Y31" s="2"/>
      <c r="Z31" s="6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21432.38</v>
      </c>
      <c r="E32" s="2"/>
      <c r="F32" s="6">
        <f t="shared" si="12"/>
        <v>0</v>
      </c>
      <c r="G32" s="2"/>
      <c r="H32" s="7">
        <v>17117.307692307699</v>
      </c>
      <c r="I32" s="2"/>
      <c r="J32" s="6">
        <f t="shared" si="13"/>
        <v>0</v>
      </c>
      <c r="K32" s="2"/>
      <c r="L32" s="7">
        <f t="shared" si="14"/>
        <v>4315.0723076923023</v>
      </c>
      <c r="M32" s="2"/>
      <c r="N32" s="6">
        <f t="shared" si="15"/>
        <v>0.25208825974609556</v>
      </c>
      <c r="O32" s="11"/>
      <c r="P32" s="7">
        <v>212813</v>
      </c>
      <c r="Q32" s="2"/>
      <c r="R32" s="6">
        <f t="shared" si="16"/>
        <v>0</v>
      </c>
      <c r="S32" s="2"/>
      <c r="T32" s="7">
        <v>150632.30769230801</v>
      </c>
      <c r="U32" s="2"/>
      <c r="V32" s="6">
        <f t="shared" si="17"/>
        <v>0</v>
      </c>
      <c r="W32" s="2"/>
      <c r="X32" s="7">
        <f t="shared" si="18"/>
        <v>62180.692307691992</v>
      </c>
      <c r="Y32" s="2"/>
      <c r="Z32" s="6">
        <f t="shared" si="19"/>
        <v>0.41279784702433547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1404</v>
      </c>
      <c r="I38" s="2"/>
      <c r="J38" s="6">
        <f t="shared" si="13"/>
        <v>0</v>
      </c>
      <c r="K38" s="2"/>
      <c r="L38" s="7">
        <f t="shared" si="14"/>
        <v>-1404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10514.4</v>
      </c>
      <c r="U38" s="2"/>
      <c r="V38" s="6">
        <f t="shared" si="17"/>
        <v>0</v>
      </c>
      <c r="W38" s="2"/>
      <c r="X38" s="7">
        <f t="shared" si="18"/>
        <v>-10514.4</v>
      </c>
      <c r="Y38" s="2"/>
      <c r="Z38" s="6">
        <f t="shared" si="19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5" customFormat="1" outlineLevel="1" collapsed="1" x14ac:dyDescent="0.25">
      <c r="A41" s="27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3"/>
      <c r="P41" s="1">
        <f>SUM(OSRRefP22_2x_0)</f>
        <v>15588.8</v>
      </c>
      <c r="Q41" s="1"/>
      <c r="R41" s="5">
        <f t="shared" ref="R41:R47" si="24">IF(P$12=0,0,P41/P$12)</f>
        <v>0</v>
      </c>
      <c r="S41" s="1"/>
      <c r="T41" s="1">
        <f>SUM(OSRRefT22_2x_0)</f>
        <v>15590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-1.2000000000007276</v>
      </c>
      <c r="Y41" s="1"/>
      <c r="Z41" s="5">
        <f t="shared" ref="Z41:Z47" si="27">IF(T41=0,0,X41/T41)</f>
        <v>-7.6972418216852311E-5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15588.8</v>
      </c>
      <c r="Q42" s="2"/>
      <c r="R42" s="6">
        <f t="shared" si="24"/>
        <v>0</v>
      </c>
      <c r="S42" s="2"/>
      <c r="T42" s="7">
        <v>15590</v>
      </c>
      <c r="U42" s="2"/>
      <c r="V42" s="6">
        <f t="shared" si="25"/>
        <v>0</v>
      </c>
      <c r="W42" s="2"/>
      <c r="X42" s="7">
        <f t="shared" si="26"/>
        <v>-1.2000000000007276</v>
      </c>
      <c r="Y42" s="2"/>
      <c r="Z42" s="6">
        <f t="shared" si="27"/>
        <v>-7.6972418216852311E-5</v>
      </c>
    </row>
    <row r="43" spans="1:26" s="25" customFormat="1" outlineLevel="1" collapsed="1" x14ac:dyDescent="0.25">
      <c r="A43" s="27"/>
      <c r="B43" s="13" t="str">
        <f>CONCATENATE("     ","Equipment Rental                                  ")</f>
        <v xml:space="preserve">     Equipment Rental                                  </v>
      </c>
      <c r="C43" s="13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3"/>
      <c r="P43" s="1">
        <f>SUM(OSRRefP22_3x_0)</f>
        <v>912.6</v>
      </c>
      <c r="Q43" s="1"/>
      <c r="R43" s="5">
        <f t="shared" si="24"/>
        <v>0</v>
      </c>
      <c r="S43" s="1"/>
      <c r="T43" s="1">
        <f>SUM(OSRRefT22_3x_0)</f>
        <v>910</v>
      </c>
      <c r="U43" s="1"/>
      <c r="V43" s="5">
        <f t="shared" si="25"/>
        <v>0</v>
      </c>
      <c r="W43" s="1"/>
      <c r="X43" s="1">
        <f t="shared" si="26"/>
        <v>2.6000000000000227</v>
      </c>
      <c r="Y43" s="1"/>
      <c r="Z43" s="5">
        <f t="shared" si="27"/>
        <v>2.8571428571428823E-3</v>
      </c>
    </row>
    <row r="44" spans="1:26" s="24" customFormat="1" hidden="1" outlineLevel="2" x14ac:dyDescent="0.25">
      <c r="A44" s="26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912.6</v>
      </c>
      <c r="Q44" s="2"/>
      <c r="R44" s="6">
        <f t="shared" si="24"/>
        <v>0</v>
      </c>
      <c r="S44" s="2"/>
      <c r="T44" s="7">
        <v>910</v>
      </c>
      <c r="U44" s="2"/>
      <c r="V44" s="6">
        <f t="shared" si="25"/>
        <v>0</v>
      </c>
      <c r="W44" s="2"/>
      <c r="X44" s="7">
        <f t="shared" si="26"/>
        <v>2.6000000000000227</v>
      </c>
      <c r="Y44" s="2"/>
      <c r="Z44" s="6">
        <f t="shared" si="27"/>
        <v>2.8571428571428823E-3</v>
      </c>
    </row>
    <row r="45" spans="1:26" s="25" customFormat="1" outlineLevel="1" collapsed="1" x14ac:dyDescent="0.25">
      <c r="A45" s="27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84.75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-15.25</v>
      </c>
      <c r="M45" s="1"/>
      <c r="N45" s="5">
        <f t="shared" si="23"/>
        <v>-0.1525</v>
      </c>
      <c r="O45" s="13"/>
      <c r="P45" s="1">
        <f>SUM(OSRRefP22_4x_0)</f>
        <v>899.79</v>
      </c>
      <c r="Q45" s="1"/>
      <c r="R45" s="5">
        <f t="shared" si="24"/>
        <v>0</v>
      </c>
      <c r="S45" s="1"/>
      <c r="T45" s="1">
        <f>SUM(OSRRefT22_4x_0)</f>
        <v>1000</v>
      </c>
      <c r="U45" s="1"/>
      <c r="V45" s="5">
        <f t="shared" si="25"/>
        <v>0</v>
      </c>
      <c r="W45" s="1"/>
      <c r="X45" s="1">
        <f t="shared" si="26"/>
        <v>-100.21000000000004</v>
      </c>
      <c r="Y45" s="1"/>
      <c r="Z45" s="5">
        <f t="shared" si="27"/>
        <v>-0.10021000000000004</v>
      </c>
    </row>
    <row r="46" spans="1:26" s="24" customFormat="1" hidden="1" outlineLevel="2" x14ac:dyDescent="0.25">
      <c r="A46" s="26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>
        <v>84.75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-15.25</v>
      </c>
      <c r="M47" s="2"/>
      <c r="N47" s="6">
        <f t="shared" si="23"/>
        <v>-0.1525</v>
      </c>
      <c r="O47" s="11"/>
      <c r="P47" s="7">
        <v>894.38</v>
      </c>
      <c r="Q47" s="2"/>
      <c r="R47" s="6">
        <f t="shared" si="24"/>
        <v>0</v>
      </c>
      <c r="S47" s="2"/>
      <c r="T47" s="7">
        <v>1000</v>
      </c>
      <c r="U47" s="2"/>
      <c r="V47" s="6">
        <f t="shared" si="25"/>
        <v>0</v>
      </c>
      <c r="W47" s="2"/>
      <c r="X47" s="7">
        <f t="shared" si="26"/>
        <v>-105.62</v>
      </c>
      <c r="Y47" s="2"/>
      <c r="Z47" s="6">
        <f t="shared" si="27"/>
        <v>-0.10562000000000001</v>
      </c>
    </row>
    <row r="48" spans="1:26" s="25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SUM(OSRRefD22_5x_0)</f>
        <v>132.16999999999999</v>
      </c>
      <c r="E48" s="1"/>
      <c r="F48" s="5">
        <f t="shared" ref="F48:F55" si="28">IF(D$12=0,0,D48/D$12)</f>
        <v>0</v>
      </c>
      <c r="G48" s="1"/>
      <c r="H48" s="1">
        <f>SUM(OSRRefH22_5x_0)</f>
        <v>145</v>
      </c>
      <c r="I48" s="1"/>
      <c r="J48" s="5">
        <f t="shared" ref="J48:J55" si="29">IF(H$12=0,0,H48/H$12)</f>
        <v>0</v>
      </c>
      <c r="K48" s="1"/>
      <c r="L48" s="1">
        <f t="shared" ref="L48:L55" si="30">+D48-H48</f>
        <v>-12.830000000000013</v>
      </c>
      <c r="M48" s="1"/>
      <c r="N48" s="5">
        <f t="shared" ref="N48:N55" si="31">IF(H48=0,0,L48/H48)</f>
        <v>-8.8482758620689744E-2</v>
      </c>
      <c r="O48" s="13"/>
      <c r="P48" s="1">
        <f>SUM(OSRRefP22_5x_0)</f>
        <v>1321.7</v>
      </c>
      <c r="Q48" s="1"/>
      <c r="R48" s="5">
        <f t="shared" ref="R48:R55" si="32">IF(P$12=0,0,P48/P$12)</f>
        <v>0</v>
      </c>
      <c r="S48" s="1"/>
      <c r="T48" s="1">
        <f>SUM(OSRRefT22_5x_0)</f>
        <v>1450</v>
      </c>
      <c r="U48" s="1"/>
      <c r="V48" s="5">
        <f t="shared" ref="V48:V55" si="33">IF(T$12=0,0,T48/T$12)</f>
        <v>0</v>
      </c>
      <c r="W48" s="1"/>
      <c r="X48" s="1">
        <f t="shared" ref="X48:X55" si="34">+P48-T48</f>
        <v>-128.29999999999995</v>
      </c>
      <c r="Y48" s="1"/>
      <c r="Z48" s="5">
        <f t="shared" ref="Z48:Z55" si="35">IF(T48=0,0,X48/T48)</f>
        <v>-8.8482758620689619E-2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1321.7</v>
      </c>
      <c r="Q49" s="2"/>
      <c r="R49" s="6">
        <f t="shared" si="32"/>
        <v>0</v>
      </c>
      <c r="S49" s="2"/>
      <c r="T49" s="7">
        <v>1450</v>
      </c>
      <c r="U49" s="2"/>
      <c r="V49" s="6">
        <f t="shared" si="33"/>
        <v>0</v>
      </c>
      <c r="W49" s="2"/>
      <c r="X49" s="7">
        <f t="shared" si="34"/>
        <v>-128.29999999999995</v>
      </c>
      <c r="Y49" s="2"/>
      <c r="Z49" s="6">
        <f t="shared" si="35"/>
        <v>-8.8482758620689619E-2</v>
      </c>
    </row>
    <row r="50" spans="1:26" s="25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2500</v>
      </c>
      <c r="U50" s="1"/>
      <c r="V50" s="5">
        <f t="shared" si="33"/>
        <v>0</v>
      </c>
      <c r="W50" s="1"/>
      <c r="X50" s="1">
        <f t="shared" si="34"/>
        <v>-2500</v>
      </c>
      <c r="Y50" s="1"/>
      <c r="Z50" s="5">
        <f t="shared" si="35"/>
        <v>-1</v>
      </c>
    </row>
    <row r="51" spans="1:26" s="24" customFormat="1" hidden="1" outlineLevel="2" x14ac:dyDescent="0.25">
      <c r="A51" s="26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2500</v>
      </c>
      <c r="U51" s="2"/>
      <c r="V51" s="6">
        <f t="shared" si="33"/>
        <v>0</v>
      </c>
      <c r="W51" s="2"/>
      <c r="X51" s="7">
        <f t="shared" si="34"/>
        <v>-2500</v>
      </c>
      <c r="Y51" s="2"/>
      <c r="Z51" s="6">
        <f t="shared" si="35"/>
        <v>-1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607.82000000000005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547.82000000000005</v>
      </c>
      <c r="M52" s="1"/>
      <c r="N52" s="5">
        <f t="shared" si="31"/>
        <v>9.1303333333333345</v>
      </c>
      <c r="O52" s="13"/>
      <c r="P52" s="1">
        <f>SUM(OSRRefP22_7x_0)</f>
        <v>37643.919999999998</v>
      </c>
      <c r="Q52" s="1"/>
      <c r="R52" s="5">
        <f t="shared" si="32"/>
        <v>0</v>
      </c>
      <c r="S52" s="1"/>
      <c r="T52" s="1">
        <f>SUM(OSRRefT22_7x_0)</f>
        <v>31450</v>
      </c>
      <c r="U52" s="1"/>
      <c r="V52" s="5">
        <f t="shared" si="33"/>
        <v>0</v>
      </c>
      <c r="W52" s="1"/>
      <c r="X52" s="1">
        <f t="shared" si="34"/>
        <v>6193.9199999999983</v>
      </c>
      <c r="Y52" s="1"/>
      <c r="Z52" s="5">
        <f t="shared" si="35"/>
        <v>0.19694499205087435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59.95</v>
      </c>
      <c r="E53" s="2"/>
      <c r="F53" s="6">
        <f t="shared" si="28"/>
        <v>0</v>
      </c>
      <c r="G53" s="2"/>
      <c r="H53" s="7">
        <v>60</v>
      </c>
      <c r="I53" s="2"/>
      <c r="J53" s="6">
        <f t="shared" si="29"/>
        <v>0</v>
      </c>
      <c r="K53" s="2"/>
      <c r="L53" s="7">
        <f t="shared" si="30"/>
        <v>-4.9999999999997158E-2</v>
      </c>
      <c r="M53" s="2"/>
      <c r="N53" s="6">
        <f t="shared" si="31"/>
        <v>-8.3333333333328601E-4</v>
      </c>
      <c r="O53" s="11"/>
      <c r="P53" s="7">
        <v>32293.42</v>
      </c>
      <c r="Q53" s="2"/>
      <c r="R53" s="6">
        <f t="shared" si="32"/>
        <v>0</v>
      </c>
      <c r="S53" s="2"/>
      <c r="T53" s="7">
        <v>27000</v>
      </c>
      <c r="U53" s="2"/>
      <c r="V53" s="6">
        <f t="shared" si="33"/>
        <v>0</v>
      </c>
      <c r="W53" s="2"/>
      <c r="X53" s="7">
        <f t="shared" si="34"/>
        <v>5293.4199999999983</v>
      </c>
      <c r="Y53" s="2"/>
      <c r="Z53" s="6">
        <f t="shared" si="35"/>
        <v>0.19605259259259253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7">
        <v>497.75</v>
      </c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497.75</v>
      </c>
      <c r="M54" s="2"/>
      <c r="N54" s="6">
        <f t="shared" si="31"/>
        <v>0</v>
      </c>
      <c r="O54" s="11"/>
      <c r="P54" s="7">
        <v>5173.3599999999997</v>
      </c>
      <c r="Q54" s="2"/>
      <c r="R54" s="6">
        <f t="shared" si="32"/>
        <v>0</v>
      </c>
      <c r="S54" s="2"/>
      <c r="T54" s="7">
        <v>4450</v>
      </c>
      <c r="U54" s="2"/>
      <c r="V54" s="6">
        <f t="shared" si="33"/>
        <v>0</v>
      </c>
      <c r="W54" s="2"/>
      <c r="X54" s="7">
        <f t="shared" si="34"/>
        <v>723.35999999999967</v>
      </c>
      <c r="Y54" s="2"/>
      <c r="Z54" s="6">
        <f t="shared" si="35"/>
        <v>0.16255280898876398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7">
        <v>50.12</v>
      </c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50.12</v>
      </c>
      <c r="M55" s="2"/>
      <c r="N55" s="6">
        <f t="shared" si="31"/>
        <v>0</v>
      </c>
      <c r="O55" s="11"/>
      <c r="P55" s="7">
        <v>177.14</v>
      </c>
      <c r="Q55" s="2"/>
      <c r="R55" s="6">
        <f t="shared" si="32"/>
        <v>0</v>
      </c>
      <c r="S55" s="2"/>
      <c r="T55" s="7"/>
      <c r="U55" s="2"/>
      <c r="V55" s="6">
        <f t="shared" si="33"/>
        <v>0</v>
      </c>
      <c r="W55" s="2"/>
      <c r="X55" s="7">
        <f t="shared" si="34"/>
        <v>177.14</v>
      </c>
      <c r="Y55" s="2"/>
      <c r="Z55" s="6">
        <f t="shared" si="35"/>
        <v>0</v>
      </c>
    </row>
    <row r="56" spans="1:26" s="25" customFormat="1" outlineLevel="1" collapsed="1" x14ac:dyDescent="0.25">
      <c r="A56" s="27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SUM(OSRRefD22_8x_0)</f>
        <v>0</v>
      </c>
      <c r="E56" s="1"/>
      <c r="F56" s="5">
        <f t="shared" ref="F56:F61" si="36">IF(D$12=0,0,D56/D$12)</f>
        <v>0</v>
      </c>
      <c r="G56" s="1"/>
      <c r="H56" s="1">
        <f>SUM(OSRRefH22_8x_0)</f>
        <v>500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-500</v>
      </c>
      <c r="M56" s="1"/>
      <c r="N56" s="5">
        <f t="shared" ref="N56:N61" si="39">IF(H56=0,0,L56/H56)</f>
        <v>-1</v>
      </c>
      <c r="O56" s="13"/>
      <c r="P56" s="1">
        <f>SUM(OSRRefP22_8x_0)</f>
        <v>5580.34</v>
      </c>
      <c r="Q56" s="1"/>
      <c r="R56" s="5">
        <f t="shared" ref="R56:R61" si="40">IF(P$12=0,0,P56/P$12)</f>
        <v>0</v>
      </c>
      <c r="S56" s="1"/>
      <c r="T56" s="1">
        <f>SUM(OSRRefT22_8x_0)</f>
        <v>5000</v>
      </c>
      <c r="U56" s="1"/>
      <c r="V56" s="5">
        <f t="shared" ref="V56:V61" si="41">IF(T$12=0,0,T56/T$12)</f>
        <v>0</v>
      </c>
      <c r="W56" s="1"/>
      <c r="X56" s="1">
        <f t="shared" ref="X56:X61" si="42">+P56-T56</f>
        <v>580.34000000000015</v>
      </c>
      <c r="Y56" s="1"/>
      <c r="Z56" s="5">
        <f t="shared" ref="Z56:Z61" si="43">IF(T56=0,0,X56/T56)</f>
        <v>0.11606800000000003</v>
      </c>
    </row>
    <row r="57" spans="1:26" s="24" customFormat="1" hidden="1" outlineLevel="2" x14ac:dyDescent="0.25">
      <c r="A57" s="26"/>
      <c r="B57" s="11" t="str">
        <f>CONCATENATE("          ", "6281", " - ", "STORAGE FEE")</f>
        <v xml:space="preserve">          6281 - STORAGE FEE</v>
      </c>
      <c r="C57" s="11"/>
      <c r="D57" s="7"/>
      <c r="E57" s="2"/>
      <c r="F57" s="6">
        <f t="shared" si="36"/>
        <v>0</v>
      </c>
      <c r="G57" s="2"/>
      <c r="H57" s="7">
        <v>500</v>
      </c>
      <c r="I57" s="2"/>
      <c r="J57" s="6">
        <f t="shared" si="37"/>
        <v>0</v>
      </c>
      <c r="K57" s="2"/>
      <c r="L57" s="7">
        <f t="shared" si="38"/>
        <v>-500</v>
      </c>
      <c r="M57" s="2"/>
      <c r="N57" s="6">
        <f t="shared" si="39"/>
        <v>-1</v>
      </c>
      <c r="O57" s="11"/>
      <c r="P57" s="7">
        <v>5580.34</v>
      </c>
      <c r="Q57" s="2"/>
      <c r="R57" s="6">
        <f t="shared" si="40"/>
        <v>0</v>
      </c>
      <c r="S57" s="2"/>
      <c r="T57" s="7">
        <v>5000</v>
      </c>
      <c r="U57" s="2"/>
      <c r="V57" s="6">
        <f t="shared" si="41"/>
        <v>0</v>
      </c>
      <c r="W57" s="2"/>
      <c r="X57" s="7">
        <f t="shared" si="42"/>
        <v>580.34000000000015</v>
      </c>
      <c r="Y57" s="2"/>
      <c r="Z57" s="6">
        <f t="shared" si="43"/>
        <v>0.11606800000000003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42.19</v>
      </c>
      <c r="E58" s="1"/>
      <c r="F58" s="5">
        <f t="shared" si="36"/>
        <v>0</v>
      </c>
      <c r="G58" s="1"/>
      <c r="H58" s="1">
        <f>SUM(OSRRefH22_9x_0)</f>
        <v>200</v>
      </c>
      <c r="I58" s="1"/>
      <c r="J58" s="5">
        <f t="shared" si="37"/>
        <v>0</v>
      </c>
      <c r="K58" s="1"/>
      <c r="L58" s="1">
        <f t="shared" si="38"/>
        <v>-157.81</v>
      </c>
      <c r="M58" s="1"/>
      <c r="N58" s="5">
        <f t="shared" si="39"/>
        <v>-0.78905000000000003</v>
      </c>
      <c r="O58" s="13"/>
      <c r="P58" s="1">
        <f>SUM(OSRRefP22_9x_0)</f>
        <v>2067.16</v>
      </c>
      <c r="Q58" s="1"/>
      <c r="R58" s="5">
        <f t="shared" si="40"/>
        <v>0</v>
      </c>
      <c r="S58" s="1"/>
      <c r="T58" s="1">
        <f>SUM(OSRRefT22_9x_0)</f>
        <v>11584</v>
      </c>
      <c r="U58" s="1"/>
      <c r="V58" s="5">
        <f t="shared" si="41"/>
        <v>0</v>
      </c>
      <c r="W58" s="1"/>
      <c r="X58" s="1">
        <f t="shared" si="42"/>
        <v>-9516.84</v>
      </c>
      <c r="Y58" s="1"/>
      <c r="Z58" s="5">
        <f t="shared" si="43"/>
        <v>-0.82155041436464094</v>
      </c>
    </row>
    <row r="59" spans="1:26" s="24" customFormat="1" hidden="1" outlineLevel="2" x14ac:dyDescent="0.25">
      <c r="A59" s="26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9584</v>
      </c>
      <c r="U59" s="2"/>
      <c r="V59" s="6">
        <f t="shared" si="41"/>
        <v>0</v>
      </c>
      <c r="W59" s="2"/>
      <c r="X59" s="7">
        <f t="shared" si="42"/>
        <v>-9584</v>
      </c>
      <c r="Y59" s="2"/>
      <c r="Z59" s="6">
        <f t="shared" si="43"/>
        <v>-1</v>
      </c>
    </row>
    <row r="60" spans="1:26" s="24" customFormat="1" hidden="1" outlineLevel="2" x14ac:dyDescent="0.25">
      <c r="A60" s="26"/>
      <c r="B60" s="11" t="str">
        <f>CONCATENATE("          ", "6235", " - ", "COVID-19 EXPENSES")</f>
        <v xml:space="preserve">          6235 - COVID-19 EXPENSES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426.66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426.66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42.19</v>
      </c>
      <c r="E61" s="2"/>
      <c r="F61" s="6">
        <f t="shared" si="36"/>
        <v>0</v>
      </c>
      <c r="G61" s="2"/>
      <c r="H61" s="7">
        <v>200</v>
      </c>
      <c r="I61" s="2"/>
      <c r="J61" s="6">
        <f t="shared" si="37"/>
        <v>0</v>
      </c>
      <c r="K61" s="2"/>
      <c r="L61" s="7">
        <f t="shared" si="38"/>
        <v>-157.81</v>
      </c>
      <c r="M61" s="2"/>
      <c r="N61" s="6">
        <f t="shared" si="39"/>
        <v>-0.78905000000000003</v>
      </c>
      <c r="O61" s="11"/>
      <c r="P61" s="7">
        <v>1640.5</v>
      </c>
      <c r="Q61" s="2"/>
      <c r="R61" s="6">
        <f t="shared" si="40"/>
        <v>0</v>
      </c>
      <c r="S61" s="2"/>
      <c r="T61" s="7">
        <v>2000</v>
      </c>
      <c r="U61" s="2"/>
      <c r="V61" s="6">
        <f t="shared" si="41"/>
        <v>0</v>
      </c>
      <c r="W61" s="2"/>
      <c r="X61" s="7">
        <f t="shared" si="42"/>
        <v>-359.5</v>
      </c>
      <c r="Y61" s="2"/>
      <c r="Z61" s="6">
        <f t="shared" si="43"/>
        <v>-0.17974999999999999</v>
      </c>
    </row>
    <row r="62" spans="1:26" s="25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345.7</v>
      </c>
      <c r="E62" s="1"/>
      <c r="F62" s="5">
        <f t="shared" ref="F62:F67" si="44">IF(D$12=0,0,D62/D$12)</f>
        <v>0</v>
      </c>
      <c r="G62" s="1"/>
      <c r="H62" s="1">
        <f>SUM(OSRRefH22_10x_0)</f>
        <v>375</v>
      </c>
      <c r="I62" s="1"/>
      <c r="J62" s="5">
        <f t="shared" ref="J62:J67" si="45">IF(H$12=0,0,H62/H$12)</f>
        <v>0</v>
      </c>
      <c r="K62" s="1"/>
      <c r="L62" s="1">
        <f t="shared" ref="L62:L67" si="46">+D62-H62</f>
        <v>-29.300000000000011</v>
      </c>
      <c r="M62" s="1"/>
      <c r="N62" s="5">
        <f t="shared" ref="N62:N67" si="47">IF(H62=0,0,L62/H62)</f>
        <v>-7.813333333333336E-2</v>
      </c>
      <c r="O62" s="13"/>
      <c r="P62" s="1">
        <f>SUM(OSRRefP22_10x_0)</f>
        <v>5151.9799999999996</v>
      </c>
      <c r="Q62" s="1"/>
      <c r="R62" s="5">
        <f t="shared" ref="R62:R67" si="48">IF(P$12=0,0,P62/P$12)</f>
        <v>0</v>
      </c>
      <c r="S62" s="1"/>
      <c r="T62" s="1">
        <f>SUM(OSRRefT22_10x_0)</f>
        <v>3750</v>
      </c>
      <c r="U62" s="1"/>
      <c r="V62" s="5">
        <f t="shared" ref="V62:V67" si="49">IF(T$12=0,0,T62/T$12)</f>
        <v>0</v>
      </c>
      <c r="W62" s="1"/>
      <c r="X62" s="1">
        <f t="shared" ref="X62:X67" si="50">+P62-T62</f>
        <v>1401.9799999999996</v>
      </c>
      <c r="Y62" s="1"/>
      <c r="Z62" s="5">
        <f t="shared" ref="Z62:Z67" si="51">IF(T62=0,0,X62/T62)</f>
        <v>0.37386133333333321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7">
        <v>345.7</v>
      </c>
      <c r="E63" s="2"/>
      <c r="F63" s="6">
        <f t="shared" si="44"/>
        <v>0</v>
      </c>
      <c r="G63" s="2"/>
      <c r="H63" s="7">
        <v>375</v>
      </c>
      <c r="I63" s="2"/>
      <c r="J63" s="6">
        <f t="shared" si="45"/>
        <v>0</v>
      </c>
      <c r="K63" s="2"/>
      <c r="L63" s="7">
        <f t="shared" si="46"/>
        <v>-29.300000000000011</v>
      </c>
      <c r="M63" s="2"/>
      <c r="N63" s="6">
        <f t="shared" si="47"/>
        <v>-7.813333333333336E-2</v>
      </c>
      <c r="O63" s="11"/>
      <c r="P63" s="7">
        <v>5151.9799999999996</v>
      </c>
      <c r="Q63" s="2"/>
      <c r="R63" s="6">
        <f t="shared" si="48"/>
        <v>0</v>
      </c>
      <c r="S63" s="2"/>
      <c r="T63" s="7">
        <v>3750</v>
      </c>
      <c r="U63" s="2"/>
      <c r="V63" s="6">
        <f t="shared" si="49"/>
        <v>0</v>
      </c>
      <c r="W63" s="2"/>
      <c r="X63" s="7">
        <f t="shared" si="50"/>
        <v>1401.9799999999996</v>
      </c>
      <c r="Y63" s="2"/>
      <c r="Z63" s="6">
        <f t="shared" si="51"/>
        <v>0.37386133333333321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si="44"/>
        <v>0</v>
      </c>
      <c r="G64" s="1"/>
      <c r="H64" s="1">
        <f>SUM(OSRRefH22_11x_0)</f>
        <v>250</v>
      </c>
      <c r="I64" s="1"/>
      <c r="J64" s="5">
        <f t="shared" si="45"/>
        <v>0</v>
      </c>
      <c r="K64" s="1"/>
      <c r="L64" s="1">
        <f t="shared" si="46"/>
        <v>-250</v>
      </c>
      <c r="M64" s="1"/>
      <c r="N64" s="5">
        <f t="shared" si="47"/>
        <v>-1</v>
      </c>
      <c r="O64" s="13"/>
      <c r="P64" s="1">
        <f>SUM(OSRRefP22_11x_0)</f>
        <v>548</v>
      </c>
      <c r="Q64" s="1"/>
      <c r="R64" s="5">
        <f t="shared" si="48"/>
        <v>0</v>
      </c>
      <c r="S64" s="1"/>
      <c r="T64" s="1">
        <f>SUM(OSRRefT22_11x_0)</f>
        <v>2250</v>
      </c>
      <c r="U64" s="1"/>
      <c r="V64" s="5">
        <f t="shared" si="49"/>
        <v>0</v>
      </c>
      <c r="W64" s="1"/>
      <c r="X64" s="1">
        <f t="shared" si="50"/>
        <v>-1702</v>
      </c>
      <c r="Y64" s="1"/>
      <c r="Z64" s="5">
        <f t="shared" si="51"/>
        <v>-0.75644444444444447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4"/>
        <v>0</v>
      </c>
      <c r="G65" s="2"/>
      <c r="H65" s="7">
        <v>250</v>
      </c>
      <c r="I65" s="2"/>
      <c r="J65" s="6">
        <f t="shared" si="45"/>
        <v>0</v>
      </c>
      <c r="K65" s="2"/>
      <c r="L65" s="7">
        <f t="shared" si="46"/>
        <v>-250</v>
      </c>
      <c r="M65" s="2"/>
      <c r="N65" s="6">
        <f t="shared" si="47"/>
        <v>-1</v>
      </c>
      <c r="O65" s="11"/>
      <c r="P65" s="7">
        <v>548</v>
      </c>
      <c r="Q65" s="2"/>
      <c r="R65" s="6">
        <f t="shared" si="48"/>
        <v>0</v>
      </c>
      <c r="S65" s="2"/>
      <c r="T65" s="7">
        <v>2250</v>
      </c>
      <c r="U65" s="2"/>
      <c r="V65" s="6">
        <f t="shared" si="49"/>
        <v>0</v>
      </c>
      <c r="W65" s="2"/>
      <c r="X65" s="7">
        <f t="shared" si="50"/>
        <v>-1702</v>
      </c>
      <c r="Y65" s="2"/>
      <c r="Z65" s="6">
        <f t="shared" si="51"/>
        <v>-0.75644444444444447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13.3</v>
      </c>
      <c r="E66" s="1"/>
      <c r="F66" s="5">
        <f t="shared" si="44"/>
        <v>0</v>
      </c>
      <c r="G66" s="1"/>
      <c r="H66" s="1">
        <f>SUM(OSRRefH22_12x_0)</f>
        <v>0</v>
      </c>
      <c r="I66" s="1"/>
      <c r="J66" s="5">
        <f t="shared" si="45"/>
        <v>0</v>
      </c>
      <c r="K66" s="1"/>
      <c r="L66" s="1">
        <f t="shared" si="46"/>
        <v>13.3</v>
      </c>
      <c r="M66" s="1"/>
      <c r="N66" s="5">
        <f t="shared" si="47"/>
        <v>0</v>
      </c>
      <c r="O66" s="13"/>
      <c r="P66" s="1">
        <f>SUM(OSRRefP22_12x_0)</f>
        <v>88.72</v>
      </c>
      <c r="Q66" s="1"/>
      <c r="R66" s="5">
        <f t="shared" si="48"/>
        <v>0</v>
      </c>
      <c r="S66" s="1"/>
      <c r="T66" s="1">
        <f>SUM(OSRRefT22_12x_0)</f>
        <v>0</v>
      </c>
      <c r="U66" s="1"/>
      <c r="V66" s="5">
        <f t="shared" si="49"/>
        <v>0</v>
      </c>
      <c r="W66" s="1"/>
      <c r="X66" s="1">
        <f t="shared" si="50"/>
        <v>88.72</v>
      </c>
      <c r="Y66" s="1"/>
      <c r="Z66" s="5">
        <f t="shared" si="51"/>
        <v>0</v>
      </c>
    </row>
    <row r="67" spans="1:26" s="24" customFormat="1" hidden="1" outlineLevel="2" x14ac:dyDescent="0.25">
      <c r="A67" s="26"/>
      <c r="B67" s="11" t="str">
        <f>CONCATENATE("          ", "6294", " - ", "TRAVEL OPERATIONAL")</f>
        <v xml:space="preserve">          6294 - TRAVEL OPERATIONAL</v>
      </c>
      <c r="C67" s="11"/>
      <c r="D67" s="7">
        <v>13.3</v>
      </c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13.3</v>
      </c>
      <c r="M67" s="2"/>
      <c r="N67" s="6">
        <f t="shared" si="47"/>
        <v>0</v>
      </c>
      <c r="O67" s="11"/>
      <c r="P67" s="7">
        <v>88.72</v>
      </c>
      <c r="Q67" s="2"/>
      <c r="R67" s="6">
        <f t="shared" si="48"/>
        <v>0</v>
      </c>
      <c r="S67" s="2"/>
      <c r="T67" s="7"/>
      <c r="U67" s="2"/>
      <c r="V67" s="6">
        <f t="shared" si="49"/>
        <v>0</v>
      </c>
      <c r="W67" s="2"/>
      <c r="X67" s="7">
        <f t="shared" si="50"/>
        <v>88.72</v>
      </c>
      <c r="Y67" s="2"/>
      <c r="Z67" s="6">
        <f t="shared" si="51"/>
        <v>0</v>
      </c>
    </row>
    <row r="68" spans="1:26" s="61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293</v>
      </c>
      <c r="C69" s="10"/>
      <c r="D69" s="4">
        <f>SUM(OSRRefD25x_0)</f>
        <v>0</v>
      </c>
      <c r="E69" s="4"/>
      <c r="F69" s="12">
        <f t="shared" ref="F69:F72" si="52">IF(D$12=0,0,D69/D$12)</f>
        <v>0</v>
      </c>
      <c r="G69" s="4"/>
      <c r="H69" s="4">
        <f>SUM(OSRRefH25x_0)</f>
        <v>0</v>
      </c>
      <c r="I69" s="4"/>
      <c r="J69" s="12">
        <f t="shared" ref="J69:J72" si="53">IF(H$12=0,0,H69/H$12)</f>
        <v>0</v>
      </c>
      <c r="K69" s="4"/>
      <c r="L69" s="4">
        <f t="shared" ref="L69:L72" si="54">+D69-H69</f>
        <v>0</v>
      </c>
      <c r="M69" s="4"/>
      <c r="N69" s="12">
        <f t="shared" ref="N69:N72" si="55">IF(H69=0,0,L69/H69)</f>
        <v>0</v>
      </c>
      <c r="O69" s="10"/>
      <c r="P69" s="4">
        <f>SUM(OSRRefP25x_0)</f>
        <v>0</v>
      </c>
      <c r="Q69" s="4"/>
      <c r="R69" s="12">
        <f t="shared" ref="R69:R72" si="56">IF(P$12=0,0,P69/P$12)</f>
        <v>0</v>
      </c>
      <c r="S69" s="4"/>
      <c r="T69" s="4">
        <f>SUM(OSRRefT25x_0)</f>
        <v>0</v>
      </c>
      <c r="U69" s="4"/>
      <c r="V69" s="12">
        <f t="shared" ref="V69:V72" si="57">IF(T$12=0,0,T69/T$12)</f>
        <v>0</v>
      </c>
      <c r="W69" s="4"/>
      <c r="X69" s="4">
        <f t="shared" ref="X69:X72" si="58">+P69-T69</f>
        <v>0</v>
      </c>
      <c r="Y69" s="4"/>
      <c r="Z69" s="12">
        <f t="shared" ref="Z69:Z72" si="59">IF(T69=0,0,X69/T69)</f>
        <v>0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 t="shared" ref="D70:D72" si="60">0</f>
        <v>0</v>
      </c>
      <c r="E70" s="2"/>
      <c r="F70" s="19">
        <f t="shared" si="52"/>
        <v>0</v>
      </c>
      <c r="G70" s="2"/>
      <c r="H70" s="2"/>
      <c r="I70" s="2"/>
      <c r="J70" s="19">
        <f t="shared" si="53"/>
        <v>0</v>
      </c>
      <c r="K70" s="2"/>
      <c r="L70" s="2">
        <f t="shared" si="54"/>
        <v>0</v>
      </c>
      <c r="M70" s="2"/>
      <c r="N70" s="19">
        <f t="shared" si="55"/>
        <v>0</v>
      </c>
      <c r="O70" s="11"/>
      <c r="P70" s="2">
        <f t="shared" ref="P70:P72" si="61">0</f>
        <v>0</v>
      </c>
      <c r="Q70" s="2"/>
      <c r="R70" s="19">
        <f t="shared" si="56"/>
        <v>0</v>
      </c>
      <c r="S70" s="2"/>
      <c r="T70" s="2">
        <v>0</v>
      </c>
      <c r="U70" s="2"/>
      <c r="V70" s="19">
        <f t="shared" si="57"/>
        <v>0</v>
      </c>
      <c r="W70" s="2"/>
      <c r="X70" s="2">
        <f t="shared" si="58"/>
        <v>0</v>
      </c>
      <c r="Y70" s="2"/>
      <c r="Z70" s="19">
        <f t="shared" si="59"/>
        <v>0</v>
      </c>
    </row>
    <row r="71" spans="1:26" s="24" customFormat="1" hidden="1" outlineLevel="1" x14ac:dyDescent="0.25">
      <c r="A71" s="44"/>
      <c r="B71" s="11" t="str">
        <f>CONCATENATE("          ", "9151", " - ", "MISC. INCOME")</f>
        <v xml:space="preserve">          9151 - MISC. INCOME</v>
      </c>
      <c r="C71" s="11"/>
      <c r="D71" s="2">
        <f t="shared" si="60"/>
        <v>0</v>
      </c>
      <c r="E71" s="2"/>
      <c r="F71" s="19">
        <f t="shared" si="52"/>
        <v>0</v>
      </c>
      <c r="G71" s="2"/>
      <c r="H71" s="2"/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 t="shared" si="61"/>
        <v>0</v>
      </c>
      <c r="Q71" s="2"/>
      <c r="R71" s="19">
        <f t="shared" si="56"/>
        <v>0</v>
      </c>
      <c r="S71" s="2"/>
      <c r="T71" s="2">
        <v>0</v>
      </c>
      <c r="U71" s="2"/>
      <c r="V71" s="19">
        <f t="shared" si="57"/>
        <v>0</v>
      </c>
      <c r="W71" s="2"/>
      <c r="X71" s="2">
        <f t="shared" si="58"/>
        <v>0</v>
      </c>
      <c r="Y71" s="2"/>
      <c r="Z71" s="19">
        <f t="shared" si="59"/>
        <v>0</v>
      </c>
    </row>
    <row r="72" spans="1:26" s="24" customFormat="1" hidden="1" outlineLevel="1" x14ac:dyDescent="0.25">
      <c r="A72" s="44"/>
      <c r="B72" s="11" t="str">
        <f>CONCATENATE("          ", "9160", " - ", "MISC. INCOME")</f>
        <v xml:space="preserve">          9160 - MISC. INCOME</v>
      </c>
      <c r="C72" s="11"/>
      <c r="D72" s="2">
        <f t="shared" si="60"/>
        <v>0</v>
      </c>
      <c r="E72" s="2"/>
      <c r="F72" s="19">
        <f t="shared" si="52"/>
        <v>0</v>
      </c>
      <c r="G72" s="2"/>
      <c r="H72" s="2"/>
      <c r="I72" s="2"/>
      <c r="J72" s="19">
        <f t="shared" si="53"/>
        <v>0</v>
      </c>
      <c r="K72" s="2"/>
      <c r="L72" s="2">
        <f t="shared" si="54"/>
        <v>0</v>
      </c>
      <c r="M72" s="2"/>
      <c r="N72" s="19">
        <f t="shared" si="55"/>
        <v>0</v>
      </c>
      <c r="O72" s="11"/>
      <c r="P72" s="2">
        <f t="shared" si="61"/>
        <v>0</v>
      </c>
      <c r="Q72" s="2"/>
      <c r="R72" s="19">
        <f t="shared" si="56"/>
        <v>0</v>
      </c>
      <c r="S72" s="2"/>
      <c r="T72" s="2">
        <v>0</v>
      </c>
      <c r="U72" s="2"/>
      <c r="V72" s="19">
        <f t="shared" si="57"/>
        <v>0</v>
      </c>
      <c r="W72" s="2"/>
      <c r="X72" s="2">
        <f t="shared" si="58"/>
        <v>0</v>
      </c>
      <c r="Y72" s="2"/>
      <c r="Z72" s="19">
        <f t="shared" si="59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277</v>
      </c>
      <c r="C74" s="28"/>
      <c r="D74" s="21">
        <f>+D17-D19+D69</f>
        <v>-39295.32</v>
      </c>
      <c r="E74" s="14"/>
      <c r="F74" s="20">
        <f>IF(D$12=0,0,D74/D$12)</f>
        <v>0</v>
      </c>
      <c r="G74" s="14"/>
      <c r="H74" s="21">
        <f>+H17-H19+H69</f>
        <v>-42076.853119230786</v>
      </c>
      <c r="I74" s="14"/>
      <c r="J74" s="20">
        <f>IF(H$12=0,0,H74/H$12)</f>
        <v>0</v>
      </c>
      <c r="K74" s="16"/>
      <c r="L74" s="21">
        <f>+D74-H74</f>
        <v>2781.5331192307858</v>
      </c>
      <c r="M74" s="16"/>
      <c r="N74" s="20">
        <f>IF(H74=0,0,L74/H74)</f>
        <v>-6.6106015850304053E-2</v>
      </c>
      <c r="O74" s="29"/>
      <c r="P74" s="21">
        <f>+P17-P19+P69</f>
        <v>-417060.2699999999</v>
      </c>
      <c r="Q74" s="14"/>
      <c r="R74" s="20">
        <f>IF(P$12=0,0,P74/P$12)</f>
        <v>0</v>
      </c>
      <c r="S74" s="14"/>
      <c r="T74" s="21">
        <f>+T17-T19+T69</f>
        <v>-419102.64672923123</v>
      </c>
      <c r="U74" s="14"/>
      <c r="V74" s="20">
        <f>IF(T$12=0,0,T74/T$12)</f>
        <v>0</v>
      </c>
      <c r="W74" s="16"/>
      <c r="X74" s="21">
        <f>+P74-T74</f>
        <v>2042.3767292313278</v>
      </c>
      <c r="Y74" s="16"/>
      <c r="Z74" s="20">
        <f>IF(T74=0,0,X74/T74)</f>
        <v>-4.8732136271877136E-3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126</v>
      </c>
      <c r="C78" s="28"/>
      <c r="D78" s="31">
        <f>+D74-D76</f>
        <v>-39295.32</v>
      </c>
      <c r="E78" s="14"/>
      <c r="F78" s="33">
        <f>IF(D$12=0,0,D78/D$12)</f>
        <v>0</v>
      </c>
      <c r="G78" s="14"/>
      <c r="H78" s="31">
        <f>+H74-H76</f>
        <v>-42076.853119230786</v>
      </c>
      <c r="I78" s="14"/>
      <c r="J78" s="33">
        <f>IF(H$12=0,0,H78/H$12)</f>
        <v>0</v>
      </c>
      <c r="K78" s="16"/>
      <c r="L78" s="31">
        <f>D78-H78</f>
        <v>2781.5331192307858</v>
      </c>
      <c r="M78" s="16"/>
      <c r="N78" s="33">
        <f>IF(H78=0,0,L78/H78)</f>
        <v>-6.6106015850304053E-2</v>
      </c>
      <c r="O78" s="29"/>
      <c r="P78" s="31">
        <f>+P74-P76</f>
        <v>-417060.2699999999</v>
      </c>
      <c r="Q78" s="14"/>
      <c r="R78" s="33">
        <f>IF(P$12=0,0,P78/P$12)</f>
        <v>0</v>
      </c>
      <c r="S78" s="14"/>
      <c r="T78" s="31">
        <f>+T74-T76</f>
        <v>-419102.64672923123</v>
      </c>
      <c r="U78" s="14"/>
      <c r="V78" s="33">
        <f>IF(T$12=0,0,T78/T$12)</f>
        <v>0</v>
      </c>
      <c r="W78" s="16"/>
      <c r="X78" s="31">
        <f>P78-T78</f>
        <v>2042.3767292313278</v>
      </c>
      <c r="Y78" s="16"/>
      <c r="Z78" s="33">
        <f>IF(T78=0,0,X78/T78)</f>
        <v>-4.8732136271877136E-3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294</v>
      </c>
      <c r="C81" s="28"/>
      <c r="D81" s="34">
        <f>SUM(D78:D80)</f>
        <v>-39295.32</v>
      </c>
      <c r="E81" s="14"/>
      <c r="F81" s="35">
        <f>IF(D$12=0,0,D81/D$12)</f>
        <v>0</v>
      </c>
      <c r="G81" s="14"/>
      <c r="H81" s="34">
        <f>SUM(H78:H80)</f>
        <v>-42076.853119230786</v>
      </c>
      <c r="I81" s="14"/>
      <c r="J81" s="35">
        <f>IF(H$12=0,0,H81/H$12)</f>
        <v>0</v>
      </c>
      <c r="K81" s="16"/>
      <c r="L81" s="34">
        <f>+D81-H81</f>
        <v>2781.5331192307858</v>
      </c>
      <c r="M81" s="16"/>
      <c r="N81" s="35">
        <f>IF(H81=0,0,L81/H81)</f>
        <v>-6.6106015850304053E-2</v>
      </c>
      <c r="O81" s="29"/>
      <c r="P81" s="34">
        <f>SUM(P78:P80)</f>
        <v>-417060.2699999999</v>
      </c>
      <c r="Q81" s="14"/>
      <c r="R81" s="35">
        <f>IF(P$12=0,0,P81/P$12)</f>
        <v>0</v>
      </c>
      <c r="S81" s="14"/>
      <c r="T81" s="34">
        <f>SUM(T78:T80)</f>
        <v>-419102.64672923123</v>
      </c>
      <c r="U81" s="14"/>
      <c r="V81" s="35">
        <f>IF(T$12=0,0,T81/T$12)</f>
        <v>0</v>
      </c>
      <c r="W81" s="16"/>
      <c r="X81" s="34">
        <f>+P81-T81</f>
        <v>2042.3767292313278</v>
      </c>
      <c r="Y81" s="16"/>
      <c r="Z81" s="35">
        <f>IF(T81=0,0,X81/T81)</f>
        <v>-4.8732136271877136E-3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62">
        <v>44330.0058283912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6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5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43462.69</v>
      </c>
      <c r="E18" s="22"/>
      <c r="F18" s="32">
        <f t="shared" ref="F18:F29" si="0">IF(D$12=0,0,D18/D$12)</f>
        <v>0</v>
      </c>
      <c r="G18" s="22"/>
      <c r="H18" s="22">
        <f>SUM(OSRRefH22x_0)</f>
        <v>69265.15723076927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-25802.467230769267</v>
      </c>
      <c r="M18" s="4"/>
      <c r="N18" s="32">
        <f t="shared" ref="N18:N29" si="3">IF(H18=0,0,L18/H18)</f>
        <v>-0.37251726932205942</v>
      </c>
      <c r="O18" s="10"/>
      <c r="P18" s="22">
        <f>SUM(OSRRefP22x_0)</f>
        <v>450007.96000000014</v>
      </c>
      <c r="Q18" s="22"/>
      <c r="R18" s="32">
        <f t="shared" ref="R18:R29" si="4">IF(P$12=0,0,P18/P$12)</f>
        <v>0</v>
      </c>
      <c r="S18" s="22"/>
      <c r="T18" s="22">
        <f>SUM(OSRRefT22x_0)</f>
        <v>545341.78363076982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-95333.823630769679</v>
      </c>
      <c r="Y18" s="4"/>
      <c r="Z18" s="32">
        <f t="shared" ref="Z18:Z29" si="7">IF(T18=0,0,X18/T18)</f>
        <v>-0.17481481612514141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13891.150000000001</v>
      </c>
      <c r="E19" s="1"/>
      <c r="F19" s="5">
        <f t="shared" si="0"/>
        <v>0</v>
      </c>
      <c r="G19" s="1"/>
      <c r="H19" s="1">
        <f>SUM(OSRRefH22_0x_0)</f>
        <v>12518.618769230772</v>
      </c>
      <c r="I19" s="1"/>
      <c r="J19" s="5">
        <f t="shared" si="1"/>
        <v>0</v>
      </c>
      <c r="K19" s="1"/>
      <c r="L19" s="1">
        <f t="shared" si="2"/>
        <v>1372.5312307692293</v>
      </c>
      <c r="M19" s="1"/>
      <c r="N19" s="5">
        <f t="shared" si="3"/>
        <v>0.10963919071828775</v>
      </c>
      <c r="O19" s="13"/>
      <c r="P19" s="1">
        <f>SUM(OSRRefP22_0x_0)</f>
        <v>124171.91000000002</v>
      </c>
      <c r="Q19" s="1"/>
      <c r="R19" s="5">
        <f t="shared" si="4"/>
        <v>0</v>
      </c>
      <c r="S19" s="1"/>
      <c r="T19" s="1">
        <f>SUM(OSRRefT22_0x_0)</f>
        <v>113169.84516923084</v>
      </c>
      <c r="U19" s="1"/>
      <c r="V19" s="5">
        <f t="shared" si="5"/>
        <v>0</v>
      </c>
      <c r="W19" s="1"/>
      <c r="X19" s="1">
        <f t="shared" si="6"/>
        <v>11002.064830769174</v>
      </c>
      <c r="Y19" s="1"/>
      <c r="Z19" s="5">
        <f t="shared" si="7"/>
        <v>9.7217282698558172E-2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2692.57</v>
      </c>
      <c r="E20" s="2"/>
      <c r="F20" s="6">
        <f t="shared" si="0"/>
        <v>0</v>
      </c>
      <c r="G20" s="2"/>
      <c r="H20" s="7">
        <v>1898.23834615385</v>
      </c>
      <c r="I20" s="2"/>
      <c r="J20" s="6">
        <f t="shared" si="1"/>
        <v>0</v>
      </c>
      <c r="K20" s="2"/>
      <c r="L20" s="7">
        <f t="shared" si="2"/>
        <v>794.33165384615018</v>
      </c>
      <c r="M20" s="2"/>
      <c r="N20" s="6">
        <f t="shared" si="3"/>
        <v>0.41845727932722443</v>
      </c>
      <c r="O20" s="11"/>
      <c r="P20" s="7">
        <v>21566.17</v>
      </c>
      <c r="Q20" s="2"/>
      <c r="R20" s="6">
        <f t="shared" si="4"/>
        <v>0</v>
      </c>
      <c r="S20" s="2"/>
      <c r="T20" s="7">
        <v>16704.497446153899</v>
      </c>
      <c r="U20" s="2"/>
      <c r="V20" s="6">
        <f t="shared" si="5"/>
        <v>0</v>
      </c>
      <c r="W20" s="2"/>
      <c r="X20" s="7">
        <f t="shared" si="6"/>
        <v>4861.6725538460996</v>
      </c>
      <c r="Y20" s="2"/>
      <c r="Z20" s="6">
        <f t="shared" si="7"/>
        <v>0.2910397376226046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75.95</v>
      </c>
      <c r="E21" s="2"/>
      <c r="F21" s="6">
        <f t="shared" si="0"/>
        <v>0</v>
      </c>
      <c r="G21" s="2"/>
      <c r="H21" s="7">
        <v>113.912192307692</v>
      </c>
      <c r="I21" s="2"/>
      <c r="J21" s="6">
        <f t="shared" si="1"/>
        <v>0</v>
      </c>
      <c r="K21" s="2"/>
      <c r="L21" s="7">
        <f t="shared" si="2"/>
        <v>-37.962192307691993</v>
      </c>
      <c r="M21" s="2"/>
      <c r="N21" s="6">
        <f t="shared" si="3"/>
        <v>-0.33325837681317783</v>
      </c>
      <c r="O21" s="11"/>
      <c r="P21" s="7">
        <v>897.27</v>
      </c>
      <c r="Q21" s="2"/>
      <c r="R21" s="6">
        <f t="shared" si="4"/>
        <v>0</v>
      </c>
      <c r="S21" s="2"/>
      <c r="T21" s="7">
        <v>1002.42729230769</v>
      </c>
      <c r="U21" s="2"/>
      <c r="V21" s="6">
        <f t="shared" si="5"/>
        <v>0</v>
      </c>
      <c r="W21" s="2"/>
      <c r="X21" s="7">
        <f t="shared" si="6"/>
        <v>-105.15729230769</v>
      </c>
      <c r="Y21" s="2"/>
      <c r="Z21" s="6">
        <f t="shared" si="7"/>
        <v>-0.10490266288102269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6028.29</v>
      </c>
      <c r="E22" s="2"/>
      <c r="F22" s="6">
        <f t="shared" si="0"/>
        <v>0</v>
      </c>
      <c r="G22" s="2"/>
      <c r="H22" s="7">
        <v>6549.2307692307704</v>
      </c>
      <c r="I22" s="2"/>
      <c r="J22" s="6">
        <f t="shared" si="1"/>
        <v>0</v>
      </c>
      <c r="K22" s="2"/>
      <c r="L22" s="7">
        <f t="shared" si="2"/>
        <v>-520.94076923077046</v>
      </c>
      <c r="M22" s="2"/>
      <c r="N22" s="6">
        <f t="shared" si="3"/>
        <v>-7.9542283298097427E-2</v>
      </c>
      <c r="O22" s="11"/>
      <c r="P22" s="7">
        <v>60663.18</v>
      </c>
      <c r="Q22" s="2"/>
      <c r="R22" s="6">
        <f t="shared" si="4"/>
        <v>0</v>
      </c>
      <c r="S22" s="2"/>
      <c r="T22" s="7">
        <v>60009.230769230802</v>
      </c>
      <c r="U22" s="2"/>
      <c r="V22" s="6">
        <f t="shared" si="5"/>
        <v>0</v>
      </c>
      <c r="W22" s="2"/>
      <c r="X22" s="7">
        <f t="shared" si="6"/>
        <v>653.94923076919804</v>
      </c>
      <c r="Y22" s="2"/>
      <c r="Z22" s="6">
        <f t="shared" si="7"/>
        <v>1.0897477311182343E-2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59.84</v>
      </c>
      <c r="E23" s="2"/>
      <c r="F23" s="6">
        <f t="shared" si="0"/>
        <v>0</v>
      </c>
      <c r="G23" s="2"/>
      <c r="H23" s="7">
        <v>89.748999999999995</v>
      </c>
      <c r="I23" s="2"/>
      <c r="J23" s="6">
        <f t="shared" si="1"/>
        <v>0</v>
      </c>
      <c r="K23" s="2"/>
      <c r="L23" s="7">
        <f t="shared" si="2"/>
        <v>-29.908999999999992</v>
      </c>
      <c r="M23" s="2"/>
      <c r="N23" s="6">
        <f t="shared" si="3"/>
        <v>-0.33325162397352609</v>
      </c>
      <c r="O23" s="11"/>
      <c r="P23" s="7">
        <v>706.94</v>
      </c>
      <c r="Q23" s="2"/>
      <c r="R23" s="6">
        <f t="shared" si="4"/>
        <v>0</v>
      </c>
      <c r="S23" s="2"/>
      <c r="T23" s="7">
        <v>789.7912</v>
      </c>
      <c r="U23" s="2"/>
      <c r="V23" s="6">
        <f t="shared" si="5"/>
        <v>0</v>
      </c>
      <c r="W23" s="2"/>
      <c r="X23" s="7">
        <f t="shared" si="6"/>
        <v>-82.851199999999949</v>
      </c>
      <c r="Y23" s="2"/>
      <c r="Z23" s="6">
        <f t="shared" si="7"/>
        <v>-0.10490266288102469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1066.73076923077</v>
      </c>
      <c r="I24" s="2"/>
      <c r="J24" s="6">
        <f t="shared" si="1"/>
        <v>0</v>
      </c>
      <c r="K24" s="2"/>
      <c r="L24" s="7">
        <f t="shared" si="2"/>
        <v>24.749230769230053</v>
      </c>
      <c r="M24" s="2"/>
      <c r="N24" s="6">
        <f t="shared" si="3"/>
        <v>2.3201009554713572E-2</v>
      </c>
      <c r="O24" s="11"/>
      <c r="P24" s="7">
        <v>13283.32</v>
      </c>
      <c r="Q24" s="2"/>
      <c r="R24" s="6">
        <f t="shared" si="4"/>
        <v>0</v>
      </c>
      <c r="S24" s="2"/>
      <c r="T24" s="7">
        <v>9387.2307692307695</v>
      </c>
      <c r="U24" s="2"/>
      <c r="V24" s="6">
        <f t="shared" si="5"/>
        <v>0</v>
      </c>
      <c r="W24" s="2"/>
      <c r="X24" s="7">
        <f t="shared" si="6"/>
        <v>3896.0892307692302</v>
      </c>
      <c r="Y24" s="2"/>
      <c r="Z24" s="6">
        <f t="shared" si="7"/>
        <v>0.41504138190995943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491.79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491.79</v>
      </c>
      <c r="M26" s="2"/>
      <c r="N26" s="6">
        <f t="shared" si="3"/>
        <v>0</v>
      </c>
      <c r="O26" s="11"/>
      <c r="P26" s="7">
        <v>6131.5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6131.5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2089.0500000000002</v>
      </c>
      <c r="E27" s="2"/>
      <c r="F27" s="6">
        <f t="shared" si="0"/>
        <v>0</v>
      </c>
      <c r="G27" s="2"/>
      <c r="H27" s="7">
        <v>1240.1923076923099</v>
      </c>
      <c r="I27" s="2"/>
      <c r="J27" s="6">
        <f t="shared" si="1"/>
        <v>0</v>
      </c>
      <c r="K27" s="2"/>
      <c r="L27" s="7">
        <f t="shared" si="2"/>
        <v>848.85769230769029</v>
      </c>
      <c r="M27" s="2"/>
      <c r="N27" s="6">
        <f t="shared" si="3"/>
        <v>0.6844565048844754</v>
      </c>
      <c r="O27" s="11"/>
      <c r="P27" s="7">
        <v>10594.38</v>
      </c>
      <c r="Q27" s="2"/>
      <c r="R27" s="6">
        <f t="shared" si="4"/>
        <v>0</v>
      </c>
      <c r="S27" s="2"/>
      <c r="T27" s="7">
        <v>10913.692307692299</v>
      </c>
      <c r="U27" s="2"/>
      <c r="V27" s="6">
        <f t="shared" si="5"/>
        <v>0</v>
      </c>
      <c r="W27" s="2"/>
      <c r="X27" s="7">
        <f t="shared" si="6"/>
        <v>-319.31230769230024</v>
      </c>
      <c r="Y27" s="2"/>
      <c r="Z27" s="6">
        <f t="shared" si="7"/>
        <v>-2.9257954016830703E-2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1362.18</v>
      </c>
      <c r="E28" s="2"/>
      <c r="F28" s="6">
        <f t="shared" si="0"/>
        <v>0</v>
      </c>
      <c r="G28" s="2"/>
      <c r="H28" s="7">
        <v>1035.56538461538</v>
      </c>
      <c r="I28" s="2"/>
      <c r="J28" s="6">
        <f t="shared" si="1"/>
        <v>0</v>
      </c>
      <c r="K28" s="2"/>
      <c r="L28" s="7">
        <f t="shared" si="2"/>
        <v>326.61461538462004</v>
      </c>
      <c r="M28" s="2"/>
      <c r="N28" s="6">
        <f t="shared" si="3"/>
        <v>0.31539738604330442</v>
      </c>
      <c r="O28" s="11"/>
      <c r="P28" s="7">
        <v>9989.32</v>
      </c>
      <c r="Q28" s="2"/>
      <c r="R28" s="6">
        <f t="shared" si="4"/>
        <v>0</v>
      </c>
      <c r="S28" s="2"/>
      <c r="T28" s="7">
        <v>9112.9753846153708</v>
      </c>
      <c r="U28" s="2"/>
      <c r="V28" s="6">
        <f t="shared" si="5"/>
        <v>0</v>
      </c>
      <c r="W28" s="2"/>
      <c r="X28" s="7">
        <f t="shared" si="6"/>
        <v>876.34461538462892</v>
      </c>
      <c r="Y28" s="2"/>
      <c r="Z28" s="6">
        <f t="shared" si="7"/>
        <v>9.6164488369417073E-2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-525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5250</v>
      </c>
      <c r="U29" s="2"/>
      <c r="V29" s="6">
        <f t="shared" si="5"/>
        <v>0</v>
      </c>
      <c r="W29" s="2"/>
      <c r="X29" s="7">
        <f t="shared" si="6"/>
        <v>-4910.17</v>
      </c>
      <c r="Y29" s="2"/>
      <c r="Z29" s="6">
        <f t="shared" si="7"/>
        <v>-0.93527047619047621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23553.25</v>
      </c>
      <c r="E30" s="1"/>
      <c r="F30" s="5">
        <f t="shared" ref="F30:F40" si="8">IF(D$12=0,0,D30/D$12)</f>
        <v>0</v>
      </c>
      <c r="G30" s="1"/>
      <c r="H30" s="1">
        <f>SUM(OSRRefH22_1x_0)</f>
        <v>32534.538461538497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-8981.2884615384974</v>
      </c>
      <c r="M30" s="1"/>
      <c r="N30" s="5">
        <f t="shared" ref="N30:N40" si="11">IF(H30=0,0,L30/H30)</f>
        <v>-0.27605396868180404</v>
      </c>
      <c r="O30" s="13"/>
      <c r="P30" s="1">
        <f>SUM(OSRRefP22_1x_0)</f>
        <v>259727.05</v>
      </c>
      <c r="Q30" s="1"/>
      <c r="R30" s="5">
        <f t="shared" ref="R30:R40" si="12">IF(P$12=0,0,P30/P$12)</f>
        <v>0</v>
      </c>
      <c r="S30" s="1"/>
      <c r="T30" s="1">
        <f>SUM(OSRRefT22_1x_0)</f>
        <v>286303.93846153899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-26576.888461538998</v>
      </c>
      <c r="Y30" s="1"/>
      <c r="Z30" s="5">
        <f t="shared" ref="Z30:Z40" si="15">IF(T30=0,0,X30/T30)</f>
        <v>-9.2827533579700444E-2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8410.14</v>
      </c>
      <c r="E31" s="2"/>
      <c r="F31" s="6">
        <f t="shared" si="8"/>
        <v>0</v>
      </c>
      <c r="G31" s="2"/>
      <c r="H31" s="7">
        <v>11411.538461538499</v>
      </c>
      <c r="I31" s="2"/>
      <c r="J31" s="6">
        <f t="shared" si="9"/>
        <v>0</v>
      </c>
      <c r="K31" s="2"/>
      <c r="L31" s="7">
        <f t="shared" si="10"/>
        <v>-3001.3984615384998</v>
      </c>
      <c r="M31" s="2"/>
      <c r="N31" s="6">
        <f t="shared" si="11"/>
        <v>-0.26301435793731287</v>
      </c>
      <c r="O31" s="11"/>
      <c r="P31" s="7">
        <v>100161.28</v>
      </c>
      <c r="Q31" s="2"/>
      <c r="R31" s="6">
        <f t="shared" si="12"/>
        <v>0</v>
      </c>
      <c r="S31" s="2"/>
      <c r="T31" s="7">
        <v>100421.53846153901</v>
      </c>
      <c r="U31" s="2"/>
      <c r="V31" s="6">
        <f t="shared" si="13"/>
        <v>0</v>
      </c>
      <c r="W31" s="2"/>
      <c r="X31" s="7">
        <f t="shared" si="14"/>
        <v>-260.25846153900784</v>
      </c>
      <c r="Y31" s="2"/>
      <c r="Z31" s="6">
        <f t="shared" si="15"/>
        <v>-2.5916597726560985E-3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13245.9</v>
      </c>
      <c r="E34" s="2"/>
      <c r="F34" s="6">
        <f t="shared" si="8"/>
        <v>0</v>
      </c>
      <c r="G34" s="2"/>
      <c r="H34" s="7">
        <v>11408</v>
      </c>
      <c r="I34" s="2"/>
      <c r="J34" s="6">
        <f t="shared" si="9"/>
        <v>0</v>
      </c>
      <c r="K34" s="2"/>
      <c r="L34" s="7">
        <f t="shared" si="10"/>
        <v>1837.8999999999996</v>
      </c>
      <c r="M34" s="2"/>
      <c r="N34" s="6">
        <f t="shared" si="11"/>
        <v>0.16110624123422157</v>
      </c>
      <c r="O34" s="11"/>
      <c r="P34" s="7">
        <v>106497.37</v>
      </c>
      <c r="Q34" s="2"/>
      <c r="R34" s="6">
        <f t="shared" si="12"/>
        <v>0</v>
      </c>
      <c r="S34" s="2"/>
      <c r="T34" s="7">
        <v>100390.39999999999</v>
      </c>
      <c r="U34" s="2"/>
      <c r="V34" s="6">
        <f t="shared" si="13"/>
        <v>0</v>
      </c>
      <c r="W34" s="2"/>
      <c r="X34" s="7">
        <f t="shared" si="14"/>
        <v>6106.9700000000012</v>
      </c>
      <c r="Y34" s="2"/>
      <c r="Z34" s="6">
        <f t="shared" si="15"/>
        <v>6.0832211048068359E-2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5393.21</v>
      </c>
      <c r="E35" s="2"/>
      <c r="F35" s="6">
        <f t="shared" si="8"/>
        <v>0</v>
      </c>
      <c r="G35" s="2"/>
      <c r="H35" s="7">
        <v>9715</v>
      </c>
      <c r="I35" s="2"/>
      <c r="J35" s="6">
        <f t="shared" si="9"/>
        <v>0</v>
      </c>
      <c r="K35" s="2"/>
      <c r="L35" s="7">
        <f t="shared" si="10"/>
        <v>-4321.79</v>
      </c>
      <c r="M35" s="2"/>
      <c r="N35" s="6">
        <f t="shared" si="11"/>
        <v>-0.44485743695316521</v>
      </c>
      <c r="O35" s="11"/>
      <c r="P35" s="7">
        <v>53068.4</v>
      </c>
      <c r="Q35" s="2"/>
      <c r="R35" s="6">
        <f t="shared" si="12"/>
        <v>0</v>
      </c>
      <c r="S35" s="2"/>
      <c r="T35" s="7">
        <v>85492</v>
      </c>
      <c r="U35" s="2"/>
      <c r="V35" s="6">
        <f t="shared" si="13"/>
        <v>0</v>
      </c>
      <c r="W35" s="2"/>
      <c r="X35" s="7">
        <f t="shared" si="14"/>
        <v>-32423.599999999999</v>
      </c>
      <c r="Y35" s="2"/>
      <c r="Z35" s="6">
        <f t="shared" si="15"/>
        <v>-0.37925887802367469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-3496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-3496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3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2500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-2500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2500</v>
      </c>
      <c r="U42" s="2"/>
      <c r="V42" s="6">
        <f t="shared" si="21"/>
        <v>0</v>
      </c>
      <c r="W42" s="2"/>
      <c r="X42" s="7">
        <f t="shared" si="22"/>
        <v>-2500</v>
      </c>
      <c r="Y42" s="2"/>
      <c r="Z42" s="6">
        <f t="shared" si="23"/>
        <v>-1</v>
      </c>
    </row>
    <row r="43" spans="1:26" s="25" customFormat="1" outlineLevel="1" collapsed="1" x14ac:dyDescent="0.25">
      <c r="A43" s="27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10850</v>
      </c>
      <c r="I43" s="1"/>
      <c r="J43" s="5">
        <f t="shared" si="17"/>
        <v>0</v>
      </c>
      <c r="K43" s="1"/>
      <c r="L43" s="1">
        <f t="shared" si="18"/>
        <v>-10850</v>
      </c>
      <c r="M43" s="1"/>
      <c r="N43" s="5">
        <f t="shared" si="19"/>
        <v>-1</v>
      </c>
      <c r="O43" s="13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11550</v>
      </c>
      <c r="U43" s="1"/>
      <c r="V43" s="5">
        <f t="shared" si="21"/>
        <v>0</v>
      </c>
      <c r="W43" s="1"/>
      <c r="X43" s="1">
        <f t="shared" si="22"/>
        <v>-11468.44</v>
      </c>
      <c r="Y43" s="1"/>
      <c r="Z43" s="5">
        <f t="shared" si="23"/>
        <v>-0.99293852813852823</v>
      </c>
    </row>
    <row r="44" spans="1:26" s="24" customFormat="1" hidden="1" outlineLevel="2" x14ac:dyDescent="0.25">
      <c r="A44" s="26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10850</v>
      </c>
      <c r="I44" s="2"/>
      <c r="J44" s="6">
        <f t="shared" si="17"/>
        <v>0</v>
      </c>
      <c r="K44" s="2"/>
      <c r="L44" s="7">
        <f t="shared" si="18"/>
        <v>-10850</v>
      </c>
      <c r="M44" s="2"/>
      <c r="N44" s="6">
        <f t="shared" si="19"/>
        <v>-1</v>
      </c>
      <c r="O44" s="11"/>
      <c r="P44" s="7">
        <v>81.56</v>
      </c>
      <c r="Q44" s="2"/>
      <c r="R44" s="6">
        <f t="shared" si="20"/>
        <v>0</v>
      </c>
      <c r="S44" s="2"/>
      <c r="T44" s="7">
        <v>11550</v>
      </c>
      <c r="U44" s="2"/>
      <c r="V44" s="6">
        <f t="shared" si="21"/>
        <v>0</v>
      </c>
      <c r="W44" s="2"/>
      <c r="X44" s="7">
        <f t="shared" si="22"/>
        <v>-11468.44</v>
      </c>
      <c r="Y44" s="2"/>
      <c r="Z44" s="6">
        <f t="shared" si="23"/>
        <v>-0.99293852813852823</v>
      </c>
    </row>
    <row r="45" spans="1:26" s="25" customFormat="1" outlineLevel="1" collapsed="1" x14ac:dyDescent="0.25">
      <c r="A45" s="27"/>
      <c r="B45" s="13" t="str">
        <f>CONCATENATE("     ","Equipment Rental                                  ")</f>
        <v xml:space="preserve">     Equipment Rental       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738</v>
      </c>
      <c r="U45" s="1"/>
      <c r="V45" s="5">
        <f t="shared" si="21"/>
        <v>0</v>
      </c>
      <c r="W45" s="1"/>
      <c r="X45" s="1">
        <f t="shared" si="22"/>
        <v>-738</v>
      </c>
      <c r="Y45" s="1"/>
      <c r="Z45" s="5">
        <f t="shared" si="23"/>
        <v>-1</v>
      </c>
    </row>
    <row r="46" spans="1:26" s="24" customFormat="1" hidden="1" outlineLevel="2" x14ac:dyDescent="0.25">
      <c r="A46" s="26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738</v>
      </c>
      <c r="U46" s="2"/>
      <c r="V46" s="6">
        <f t="shared" si="21"/>
        <v>0</v>
      </c>
      <c r="W46" s="2"/>
      <c r="X46" s="7">
        <f t="shared" si="22"/>
        <v>-738</v>
      </c>
      <c r="Y46" s="2"/>
      <c r="Z46" s="6">
        <f t="shared" si="23"/>
        <v>-1</v>
      </c>
    </row>
    <row r="47" spans="1:26" s="25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-83</v>
      </c>
      <c r="M47" s="1"/>
      <c r="N47" s="5">
        <f t="shared" si="19"/>
        <v>-1</v>
      </c>
      <c r="O47" s="13"/>
      <c r="P47" s="1">
        <f>SUM(OSRRefP22_5x_0)</f>
        <v>116.77</v>
      </c>
      <c r="Q47" s="1"/>
      <c r="R47" s="5">
        <f t="shared" si="20"/>
        <v>0</v>
      </c>
      <c r="S47" s="1"/>
      <c r="T47" s="1">
        <f>SUM(OSRRefT22_5x_0)</f>
        <v>830</v>
      </c>
      <c r="U47" s="1"/>
      <c r="V47" s="5">
        <f t="shared" si="21"/>
        <v>0</v>
      </c>
      <c r="W47" s="1"/>
      <c r="X47" s="1">
        <f t="shared" si="22"/>
        <v>-713.23</v>
      </c>
      <c r="Y47" s="1"/>
      <c r="Z47" s="5">
        <f t="shared" si="23"/>
        <v>-0.85931325301204819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-83</v>
      </c>
      <c r="M48" s="2"/>
      <c r="N48" s="6">
        <f t="shared" si="19"/>
        <v>-1</v>
      </c>
      <c r="O48" s="11"/>
      <c r="P48" s="7">
        <v>116.77</v>
      </c>
      <c r="Q48" s="2"/>
      <c r="R48" s="6">
        <f t="shared" si="20"/>
        <v>0</v>
      </c>
      <c r="S48" s="2"/>
      <c r="T48" s="7">
        <v>830</v>
      </c>
      <c r="U48" s="2"/>
      <c r="V48" s="6">
        <f t="shared" si="21"/>
        <v>0</v>
      </c>
      <c r="W48" s="2"/>
      <c r="X48" s="7">
        <f t="shared" si="22"/>
        <v>-713.23</v>
      </c>
      <c r="Y48" s="2"/>
      <c r="Z48" s="6">
        <f t="shared" si="23"/>
        <v>-0.85931325301204819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52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-281</v>
      </c>
      <c r="M49" s="1"/>
      <c r="N49" s="5">
        <f t="shared" si="19"/>
        <v>-0.84384384384384381</v>
      </c>
      <c r="O49" s="13"/>
      <c r="P49" s="1">
        <f>SUM(OSRRefP22_6x_0)</f>
        <v>281.14</v>
      </c>
      <c r="Q49" s="1"/>
      <c r="R49" s="5">
        <f t="shared" si="20"/>
        <v>0</v>
      </c>
      <c r="S49" s="1"/>
      <c r="T49" s="1">
        <f>SUM(OSRRefT22_6x_0)</f>
        <v>3330</v>
      </c>
      <c r="U49" s="1"/>
      <c r="V49" s="5">
        <f t="shared" si="21"/>
        <v>0</v>
      </c>
      <c r="W49" s="1"/>
      <c r="X49" s="1">
        <f t="shared" si="22"/>
        <v>-3048.86</v>
      </c>
      <c r="Y49" s="1"/>
      <c r="Z49" s="5">
        <f t="shared" si="23"/>
        <v>-0.91557357357357361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7">
        <v>52</v>
      </c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-281</v>
      </c>
      <c r="M50" s="2"/>
      <c r="N50" s="6">
        <f t="shared" si="19"/>
        <v>-0.84384384384384381</v>
      </c>
      <c r="O50" s="11"/>
      <c r="P50" s="7">
        <v>281.14</v>
      </c>
      <c r="Q50" s="2"/>
      <c r="R50" s="6">
        <f t="shared" si="20"/>
        <v>0</v>
      </c>
      <c r="S50" s="2"/>
      <c r="T50" s="7">
        <v>3330</v>
      </c>
      <c r="U50" s="2"/>
      <c r="V50" s="6">
        <f t="shared" si="21"/>
        <v>0</v>
      </c>
      <c r="W50" s="2"/>
      <c r="X50" s="7">
        <f t="shared" si="22"/>
        <v>-3048.86</v>
      </c>
      <c r="Y50" s="2"/>
      <c r="Z50" s="6">
        <f t="shared" si="23"/>
        <v>-0.91557357357357361</v>
      </c>
    </row>
    <row r="51" spans="1:26" s="25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3"/>
      <c r="P51" s="1">
        <f>SUM(OSRRefP22_7x_0)</f>
        <v>654.70000000000005</v>
      </c>
      <c r="Q51" s="1"/>
      <c r="R51" s="5">
        <f t="shared" si="20"/>
        <v>0</v>
      </c>
      <c r="S51" s="1"/>
      <c r="T51" s="1">
        <f>SUM(OSRRefT22_7x_0)</f>
        <v>1510</v>
      </c>
      <c r="U51" s="1"/>
      <c r="V51" s="5">
        <f t="shared" si="21"/>
        <v>0</v>
      </c>
      <c r="W51" s="1"/>
      <c r="X51" s="1">
        <f t="shared" si="22"/>
        <v>-855.3</v>
      </c>
      <c r="Y51" s="1"/>
      <c r="Z51" s="5">
        <f t="shared" si="23"/>
        <v>-0.56642384105960264</v>
      </c>
    </row>
    <row r="52" spans="1:26" s="24" customFormat="1" hidden="1" outlineLevel="2" x14ac:dyDescent="0.25">
      <c r="A52" s="26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654.70000000000005</v>
      </c>
      <c r="Q53" s="2"/>
      <c r="R53" s="6">
        <f t="shared" si="20"/>
        <v>0</v>
      </c>
      <c r="S53" s="2"/>
      <c r="T53" s="7">
        <v>730</v>
      </c>
      <c r="U53" s="2"/>
      <c r="V53" s="6">
        <f t="shared" si="21"/>
        <v>0</v>
      </c>
      <c r="W53" s="2"/>
      <c r="X53" s="7">
        <f t="shared" si="22"/>
        <v>-75.299999999999955</v>
      </c>
      <c r="Y53" s="2"/>
      <c r="Z53" s="6">
        <f t="shared" si="23"/>
        <v>-0.10315068493150678</v>
      </c>
    </row>
    <row r="54" spans="1:26" s="25" customFormat="1" outlineLevel="1" collapsed="1" x14ac:dyDescent="0.25">
      <c r="A54" s="27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SUM(OSRRefD22_8x_0)</f>
        <v>1655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-428</v>
      </c>
      <c r="M54" s="1"/>
      <c r="N54" s="5">
        <f t="shared" ref="N54:N57" si="27">IF(H54=0,0,L54/H54)</f>
        <v>-0.20547287566010561</v>
      </c>
      <c r="O54" s="13"/>
      <c r="P54" s="1">
        <f>SUM(OSRRefP22_8x_0)</f>
        <v>10474.880000000001</v>
      </c>
      <c r="Q54" s="1"/>
      <c r="R54" s="5">
        <f t="shared" ref="R54:R57" si="28">IF(P$12=0,0,P54/P$12)</f>
        <v>0</v>
      </c>
      <c r="S54" s="1"/>
      <c r="T54" s="1">
        <f>SUM(OSRRefT22_8x_0)</f>
        <v>20830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-10355.119999999999</v>
      </c>
      <c r="Y54" s="1"/>
      <c r="Z54" s="5">
        <f t="shared" ref="Z54:Z57" si="31">IF(T54=0,0,X54/T54)</f>
        <v>-0.49712530004800765</v>
      </c>
    </row>
    <row r="55" spans="1:26" s="24" customFormat="1" hidden="1" outlineLevel="2" x14ac:dyDescent="0.25">
      <c r="A55" s="26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25">
      <c r="A56" s="26"/>
      <c r="B56" s="11" t="str">
        <f>CONCATENATE("          ", "6334", " - ", "LEGAL COUNCIL EXPENSE")</f>
        <v xml:space="preserve">          6334 - LEGAL COUNCIL EXPENSE</v>
      </c>
      <c r="C56" s="11"/>
      <c r="D56" s="7"/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-833</v>
      </c>
      <c r="M56" s="2"/>
      <c r="N56" s="6">
        <f t="shared" si="27"/>
        <v>-1</v>
      </c>
      <c r="O56" s="11"/>
      <c r="P56" s="7">
        <v>2450</v>
      </c>
      <c r="Q56" s="2"/>
      <c r="R56" s="6">
        <f t="shared" si="28"/>
        <v>0</v>
      </c>
      <c r="S56" s="2"/>
      <c r="T56" s="7">
        <v>8330</v>
      </c>
      <c r="U56" s="2"/>
      <c r="V56" s="6">
        <f t="shared" si="29"/>
        <v>0</v>
      </c>
      <c r="W56" s="2"/>
      <c r="X56" s="7">
        <f t="shared" si="30"/>
        <v>-5880</v>
      </c>
      <c r="Y56" s="2"/>
      <c r="Z56" s="6">
        <f t="shared" si="31"/>
        <v>-0.70588235294117652</v>
      </c>
    </row>
    <row r="57" spans="1:26" s="24" customFormat="1" hidden="1" outlineLevel="2" x14ac:dyDescent="0.25">
      <c r="A57" s="26"/>
      <c r="B57" s="11" t="str">
        <f>CONCATENATE("          ", "6336", " - ", "PROFESSIONAL SERVICES")</f>
        <v xml:space="preserve">          6336 - PROFESSIONAL SERVICES</v>
      </c>
      <c r="C57" s="11"/>
      <c r="D57" s="7">
        <v>1655</v>
      </c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405</v>
      </c>
      <c r="M57" s="2"/>
      <c r="N57" s="6">
        <f t="shared" si="27"/>
        <v>0.32400000000000001</v>
      </c>
      <c r="O57" s="11"/>
      <c r="P57" s="7">
        <v>8024.88</v>
      </c>
      <c r="Q57" s="2"/>
      <c r="R57" s="6">
        <f t="shared" si="28"/>
        <v>0</v>
      </c>
      <c r="S57" s="2"/>
      <c r="T57" s="7">
        <v>12500</v>
      </c>
      <c r="U57" s="2"/>
      <c r="V57" s="6">
        <f t="shared" si="29"/>
        <v>0</v>
      </c>
      <c r="W57" s="2"/>
      <c r="X57" s="7">
        <f t="shared" si="30"/>
        <v>-4475.12</v>
      </c>
      <c r="Y57" s="2"/>
      <c r="Z57" s="6">
        <f t="shared" si="31"/>
        <v>-0.35800959999999998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3821.76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-3261.24</v>
      </c>
      <c r="M58" s="1"/>
      <c r="N58" s="5">
        <f t="shared" ref="N58:N60" si="35">IF(H58=0,0,L58/H58)</f>
        <v>-0.46043202033036845</v>
      </c>
      <c r="O58" s="13"/>
      <c r="P58" s="1">
        <f>SUM(OSRRefP22_9x_0)</f>
        <v>46935.34</v>
      </c>
      <c r="Q58" s="1"/>
      <c r="R58" s="5">
        <f t="shared" ref="R58:R60" si="36">IF(P$12=0,0,P58/P$12)</f>
        <v>0</v>
      </c>
      <c r="S58" s="1"/>
      <c r="T58" s="1">
        <f>SUM(OSRRefT22_9x_0)</f>
        <v>70830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-23894.660000000003</v>
      </c>
      <c r="Y58" s="1"/>
      <c r="Z58" s="5">
        <f t="shared" ref="Z58:Z60" si="39">IF(T58=0,0,X58/T58)</f>
        <v>-0.3373522518706763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3821.76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-3261.24</v>
      </c>
      <c r="M59" s="2"/>
      <c r="N59" s="6">
        <f t="shared" si="35"/>
        <v>-0.46043202033036845</v>
      </c>
      <c r="O59" s="11"/>
      <c r="P59" s="7">
        <v>46829.32</v>
      </c>
      <c r="Q59" s="2"/>
      <c r="R59" s="6">
        <f t="shared" si="36"/>
        <v>0</v>
      </c>
      <c r="S59" s="2"/>
      <c r="T59" s="7">
        <v>70830</v>
      </c>
      <c r="U59" s="2"/>
      <c r="V59" s="6">
        <f t="shared" si="37"/>
        <v>0</v>
      </c>
      <c r="W59" s="2"/>
      <c r="X59" s="7">
        <f t="shared" si="38"/>
        <v>-24000.68</v>
      </c>
      <c r="Y59" s="2"/>
      <c r="Z59" s="6">
        <f t="shared" si="39"/>
        <v>-0.33884907525060004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106.02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106.02</v>
      </c>
      <c r="Y60" s="2"/>
      <c r="Z60" s="6">
        <f t="shared" si="39"/>
        <v>0</v>
      </c>
    </row>
    <row r="61" spans="1:26" s="25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SUM(OSRRefD22_10x_0)</f>
        <v>0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</v>
      </c>
      <c r="M61" s="1"/>
      <c r="N61" s="5">
        <f t="shared" ref="N61:N66" si="43">IF(H61=0,0,L61/H61)</f>
        <v>-1</v>
      </c>
      <c r="O61" s="13"/>
      <c r="P61" s="1">
        <f>SUM(OSRRefP22_10x_0)</f>
        <v>1329.99</v>
      </c>
      <c r="Q61" s="1"/>
      <c r="R61" s="5">
        <f t="shared" ref="R61:R66" si="44">IF(P$12=0,0,P61/P$12)</f>
        <v>0</v>
      </c>
      <c r="S61" s="1"/>
      <c r="T61" s="1">
        <f>SUM(OSRRefT22_10x_0)</f>
        <v>550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779.99</v>
      </c>
      <c r="Y61" s="1"/>
      <c r="Z61" s="5">
        <f t="shared" ref="Z61:Z66" si="47">IF(T61=0,0,X61/T61)</f>
        <v>1.4181636363636363</v>
      </c>
    </row>
    <row r="62" spans="1:26" s="24" customFormat="1" hidden="1" outlineLevel="2" x14ac:dyDescent="0.25">
      <c r="A62" s="26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0"/>
        <v>0</v>
      </c>
      <c r="G62" s="2"/>
      <c r="H62" s="7">
        <v>55</v>
      </c>
      <c r="I62" s="2"/>
      <c r="J62" s="6">
        <f t="shared" si="41"/>
        <v>0</v>
      </c>
      <c r="K62" s="2"/>
      <c r="L62" s="7">
        <f t="shared" si="42"/>
        <v>-55</v>
      </c>
      <c r="M62" s="2"/>
      <c r="N62" s="6">
        <f t="shared" si="43"/>
        <v>-1</v>
      </c>
      <c r="O62" s="11"/>
      <c r="P62" s="7">
        <v>1329.99</v>
      </c>
      <c r="Q62" s="2"/>
      <c r="R62" s="6">
        <f t="shared" si="44"/>
        <v>0</v>
      </c>
      <c r="S62" s="2"/>
      <c r="T62" s="7">
        <v>550</v>
      </c>
      <c r="U62" s="2"/>
      <c r="V62" s="6">
        <f t="shared" si="45"/>
        <v>0</v>
      </c>
      <c r="W62" s="2"/>
      <c r="X62" s="7">
        <f t="shared" si="46"/>
        <v>779.99</v>
      </c>
      <c r="Y62" s="2"/>
      <c r="Z62" s="6">
        <f t="shared" si="47"/>
        <v>1.4181636363636363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SUM(OSRRefD22_11x_0)</f>
        <v>149.11000000000001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-1934.8899999999999</v>
      </c>
      <c r="M63" s="1"/>
      <c r="N63" s="5">
        <f t="shared" si="43"/>
        <v>-0.92845009596928973</v>
      </c>
      <c r="O63" s="13"/>
      <c r="P63" s="1">
        <f>SUM(OSRRefP22_11x_0)</f>
        <v>2537.37</v>
      </c>
      <c r="Q63" s="1"/>
      <c r="R63" s="5">
        <f t="shared" si="44"/>
        <v>0</v>
      </c>
      <c r="S63" s="1"/>
      <c r="T63" s="1">
        <f>SUM(OSRRefT22_11x_0)</f>
        <v>20840</v>
      </c>
      <c r="U63" s="1"/>
      <c r="V63" s="5">
        <f t="shared" si="45"/>
        <v>0</v>
      </c>
      <c r="W63" s="1"/>
      <c r="X63" s="1">
        <f t="shared" si="46"/>
        <v>-18302.63</v>
      </c>
      <c r="Y63" s="1"/>
      <c r="Z63" s="5">
        <f t="shared" si="47"/>
        <v>-0.87824520153550867</v>
      </c>
    </row>
    <row r="64" spans="1:26" s="24" customFormat="1" hidden="1" outlineLevel="2" x14ac:dyDescent="0.25">
      <c r="A64" s="26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>
        <v>417</v>
      </c>
      <c r="I64" s="2"/>
      <c r="J64" s="6">
        <f t="shared" si="41"/>
        <v>0</v>
      </c>
      <c r="K64" s="2"/>
      <c r="L64" s="7">
        <f t="shared" si="42"/>
        <v>-417</v>
      </c>
      <c r="M64" s="2"/>
      <c r="N64" s="6">
        <f t="shared" si="43"/>
        <v>-1</v>
      </c>
      <c r="O64" s="11"/>
      <c r="P64" s="7">
        <v>210.58</v>
      </c>
      <c r="Q64" s="2"/>
      <c r="R64" s="6">
        <f t="shared" si="44"/>
        <v>0</v>
      </c>
      <c r="S64" s="2"/>
      <c r="T64" s="7">
        <v>4170</v>
      </c>
      <c r="U64" s="2"/>
      <c r="V64" s="6">
        <f t="shared" si="45"/>
        <v>0</v>
      </c>
      <c r="W64" s="2"/>
      <c r="X64" s="7">
        <f t="shared" si="46"/>
        <v>-3959.42</v>
      </c>
      <c r="Y64" s="2"/>
      <c r="Z64" s="6">
        <f t="shared" si="47"/>
        <v>-0.94950119904076735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7">
        <v>149.11000000000001</v>
      </c>
      <c r="E65" s="2"/>
      <c r="F65" s="6">
        <f t="shared" si="40"/>
        <v>0</v>
      </c>
      <c r="G65" s="2"/>
      <c r="H65" s="7">
        <v>1250</v>
      </c>
      <c r="I65" s="2"/>
      <c r="J65" s="6">
        <f t="shared" si="41"/>
        <v>0</v>
      </c>
      <c r="K65" s="2"/>
      <c r="L65" s="7">
        <f t="shared" si="42"/>
        <v>-1100.8899999999999</v>
      </c>
      <c r="M65" s="2"/>
      <c r="N65" s="6">
        <f t="shared" si="43"/>
        <v>-0.88071199999999994</v>
      </c>
      <c r="O65" s="11"/>
      <c r="P65" s="7">
        <v>2104.08</v>
      </c>
      <c r="Q65" s="2"/>
      <c r="R65" s="6">
        <f t="shared" si="44"/>
        <v>0</v>
      </c>
      <c r="S65" s="2"/>
      <c r="T65" s="7">
        <v>12500</v>
      </c>
      <c r="U65" s="2"/>
      <c r="V65" s="6">
        <f t="shared" si="45"/>
        <v>0</v>
      </c>
      <c r="W65" s="2"/>
      <c r="X65" s="7">
        <f t="shared" si="46"/>
        <v>-10395.92</v>
      </c>
      <c r="Y65" s="2"/>
      <c r="Z65" s="6">
        <f t="shared" si="47"/>
        <v>-0.83167360000000001</v>
      </c>
    </row>
    <row r="66" spans="1:26" s="24" customFormat="1" hidden="1" outlineLevel="2" x14ac:dyDescent="0.25">
      <c r="A66" s="26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40"/>
        <v>0</v>
      </c>
      <c r="G66" s="2"/>
      <c r="H66" s="7">
        <v>417</v>
      </c>
      <c r="I66" s="2"/>
      <c r="J66" s="6">
        <f t="shared" si="41"/>
        <v>0</v>
      </c>
      <c r="K66" s="2"/>
      <c r="L66" s="7">
        <f t="shared" si="42"/>
        <v>-417</v>
      </c>
      <c r="M66" s="2"/>
      <c r="N66" s="6">
        <f t="shared" si="43"/>
        <v>-1</v>
      </c>
      <c r="O66" s="11"/>
      <c r="P66" s="7">
        <v>222.71</v>
      </c>
      <c r="Q66" s="2"/>
      <c r="R66" s="6">
        <f t="shared" si="44"/>
        <v>0</v>
      </c>
      <c r="S66" s="2"/>
      <c r="T66" s="7">
        <v>4170</v>
      </c>
      <c r="U66" s="2"/>
      <c r="V66" s="6">
        <f t="shared" si="45"/>
        <v>0</v>
      </c>
      <c r="W66" s="2"/>
      <c r="X66" s="7">
        <f t="shared" si="46"/>
        <v>-3947.29</v>
      </c>
      <c r="Y66" s="2"/>
      <c r="Z66" s="6">
        <f t="shared" si="47"/>
        <v>-0.94659232613908872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274.95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-15.050000000000011</v>
      </c>
      <c r="M67" s="1"/>
      <c r="N67" s="5">
        <f t="shared" ref="N67:N72" si="51">IF(H67=0,0,L67/H67)</f>
        <v>-5.1896551724137971E-2</v>
      </c>
      <c r="O67" s="13"/>
      <c r="P67" s="1">
        <f>SUM(OSRRefP22_12x_0)</f>
        <v>3074.25</v>
      </c>
      <c r="Q67" s="1"/>
      <c r="R67" s="5">
        <f t="shared" ref="R67:R72" si="52">IF(P$12=0,0,P67/P$12)</f>
        <v>0</v>
      </c>
      <c r="S67" s="1"/>
      <c r="T67" s="1">
        <f>SUM(OSRRefT22_12x_0)</f>
        <v>2900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174.25</v>
      </c>
      <c r="Y67" s="1"/>
      <c r="Z67" s="5">
        <f t="shared" ref="Z67:Z72" si="55">IF(T67=0,0,X67/T67)</f>
        <v>6.0086206896551725E-2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7">
        <v>274.95</v>
      </c>
      <c r="E68" s="2"/>
      <c r="F68" s="6">
        <f t="shared" si="48"/>
        <v>0</v>
      </c>
      <c r="G68" s="2"/>
      <c r="H68" s="7">
        <v>290</v>
      </c>
      <c r="I68" s="2"/>
      <c r="J68" s="6">
        <f t="shared" si="49"/>
        <v>0</v>
      </c>
      <c r="K68" s="2"/>
      <c r="L68" s="7">
        <f t="shared" si="50"/>
        <v>-15.050000000000011</v>
      </c>
      <c r="M68" s="2"/>
      <c r="N68" s="6">
        <f t="shared" si="51"/>
        <v>-5.1896551724137971E-2</v>
      </c>
      <c r="O68" s="11"/>
      <c r="P68" s="7">
        <v>3074.25</v>
      </c>
      <c r="Q68" s="2"/>
      <c r="R68" s="6">
        <f t="shared" si="52"/>
        <v>0</v>
      </c>
      <c r="S68" s="2"/>
      <c r="T68" s="7">
        <v>2900</v>
      </c>
      <c r="U68" s="2"/>
      <c r="V68" s="6">
        <f t="shared" si="53"/>
        <v>0</v>
      </c>
      <c r="W68" s="2"/>
      <c r="X68" s="7">
        <f t="shared" si="54"/>
        <v>174.25</v>
      </c>
      <c r="Y68" s="2"/>
      <c r="Z68" s="6">
        <f t="shared" si="55"/>
        <v>6.0086206896551725E-2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3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9460</v>
      </c>
      <c r="U69" s="1"/>
      <c r="V69" s="5">
        <f t="shared" si="53"/>
        <v>0</v>
      </c>
      <c r="W69" s="1"/>
      <c r="X69" s="1">
        <f t="shared" si="54"/>
        <v>-9557</v>
      </c>
      <c r="Y69" s="1"/>
      <c r="Z69" s="5">
        <f t="shared" si="55"/>
        <v>-1.0102536997885836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>
        <v>946</v>
      </c>
      <c r="I70" s="2"/>
      <c r="J70" s="6">
        <f t="shared" si="49"/>
        <v>0</v>
      </c>
      <c r="K70" s="2"/>
      <c r="L70" s="7">
        <f t="shared" si="50"/>
        <v>-946</v>
      </c>
      <c r="M70" s="2"/>
      <c r="N70" s="6">
        <f t="shared" si="51"/>
        <v>-1</v>
      </c>
      <c r="O70" s="11"/>
      <c r="P70" s="7">
        <v>-97</v>
      </c>
      <c r="Q70" s="2"/>
      <c r="R70" s="6">
        <f t="shared" si="52"/>
        <v>0</v>
      </c>
      <c r="S70" s="2"/>
      <c r="T70" s="7">
        <v>9460</v>
      </c>
      <c r="U70" s="2"/>
      <c r="V70" s="6">
        <f t="shared" si="53"/>
        <v>0</v>
      </c>
      <c r="W70" s="2"/>
      <c r="X70" s="7">
        <f t="shared" si="54"/>
        <v>-9557</v>
      </c>
      <c r="Y70" s="2"/>
      <c r="Z70" s="6">
        <f t="shared" si="55"/>
        <v>-1.0102536997885836</v>
      </c>
    </row>
    <row r="71" spans="1:26" s="25" customFormat="1" outlineLevel="1" collapsed="1" x14ac:dyDescent="0.25">
      <c r="A71" s="27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SUM(OSRRefD22_14x_0)</f>
        <v>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3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25">
      <c r="A72" s="26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720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720</v>
      </c>
      <c r="Y72" s="2"/>
      <c r="Z72" s="6">
        <f t="shared" si="55"/>
        <v>0</v>
      </c>
    </row>
    <row r="73" spans="1:26" s="61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293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277</v>
      </c>
      <c r="C76" s="28"/>
      <c r="D76" s="21">
        <f>+D16-D18+D74</f>
        <v>-43462.69</v>
      </c>
      <c r="E76" s="14"/>
      <c r="F76" s="20">
        <f>IF(D$12=0,0,D76/D$12)</f>
        <v>0</v>
      </c>
      <c r="G76" s="14"/>
      <c r="H76" s="21">
        <f>+H16-H18+H74</f>
        <v>-69265.15723076927</v>
      </c>
      <c r="I76" s="14"/>
      <c r="J76" s="20">
        <f>IF(H$12=0,0,H76/H$12)</f>
        <v>0</v>
      </c>
      <c r="K76" s="16"/>
      <c r="L76" s="21">
        <f>+D76-H76</f>
        <v>25802.467230769267</v>
      </c>
      <c r="M76" s="16"/>
      <c r="N76" s="20">
        <f>IF(H76=0,0,L76/H76)</f>
        <v>-0.37251726932205942</v>
      </c>
      <c r="O76" s="29"/>
      <c r="P76" s="21">
        <f>+P16-P18+P74</f>
        <v>-450007.96000000014</v>
      </c>
      <c r="Q76" s="14"/>
      <c r="R76" s="20">
        <f>IF(P$12=0,0,P76/P$12)</f>
        <v>0</v>
      </c>
      <c r="S76" s="14"/>
      <c r="T76" s="21">
        <f>+T16-T18+T74</f>
        <v>-545341.78363076982</v>
      </c>
      <c r="U76" s="14"/>
      <c r="V76" s="20">
        <f>IF(T$12=0,0,T76/T$12)</f>
        <v>0</v>
      </c>
      <c r="W76" s="16"/>
      <c r="X76" s="21">
        <f>+P76-T76</f>
        <v>95333.823630769679</v>
      </c>
      <c r="Y76" s="16"/>
      <c r="Z76" s="20">
        <f>IF(T76=0,0,X76/T76)</f>
        <v>-0.17481481612514141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128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126</v>
      </c>
      <c r="C80" s="28"/>
      <c r="D80" s="31">
        <f>+D76-D78</f>
        <v>-43462.69</v>
      </c>
      <c r="E80" s="14"/>
      <c r="F80" s="33">
        <f>IF(D$12=0,0,D80/D$12)</f>
        <v>0</v>
      </c>
      <c r="G80" s="14"/>
      <c r="H80" s="31">
        <f>+H76-H78</f>
        <v>-69265.15723076927</v>
      </c>
      <c r="I80" s="14"/>
      <c r="J80" s="33">
        <f>IF(H$12=0,0,H80/H$12)</f>
        <v>0</v>
      </c>
      <c r="K80" s="16"/>
      <c r="L80" s="31">
        <f>D80-H80</f>
        <v>25802.467230769267</v>
      </c>
      <c r="M80" s="16"/>
      <c r="N80" s="33">
        <f>IF(H80=0,0,L80/H80)</f>
        <v>-0.37251726932205942</v>
      </c>
      <c r="O80" s="29"/>
      <c r="P80" s="31">
        <f>+P76-P78</f>
        <v>-450007.96000000014</v>
      </c>
      <c r="Q80" s="14"/>
      <c r="R80" s="33">
        <f>IF(P$12=0,0,P80/P$12)</f>
        <v>0</v>
      </c>
      <c r="S80" s="14"/>
      <c r="T80" s="31">
        <f>+T76-T78</f>
        <v>-545341.78363076982</v>
      </c>
      <c r="U80" s="14"/>
      <c r="V80" s="33">
        <f>IF(T$12=0,0,T80/T$12)</f>
        <v>0</v>
      </c>
      <c r="W80" s="16"/>
      <c r="X80" s="31">
        <f>P80-T80</f>
        <v>95333.823630769679</v>
      </c>
      <c r="Y80" s="16"/>
      <c r="Z80" s="33">
        <f>IF(T80=0,0,X80/T80)</f>
        <v>-0.17481481612514141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294</v>
      </c>
      <c r="C83" s="28"/>
      <c r="D83" s="34">
        <f>SUM(D80:D82)</f>
        <v>-43462.69</v>
      </c>
      <c r="E83" s="14"/>
      <c r="F83" s="35">
        <f>IF(D$12=0,0,D83/D$12)</f>
        <v>0</v>
      </c>
      <c r="G83" s="14"/>
      <c r="H83" s="34">
        <f>SUM(H80:H82)</f>
        <v>-69265.15723076927</v>
      </c>
      <c r="I83" s="14"/>
      <c r="J83" s="35">
        <f>IF(H$12=0,0,H83/H$12)</f>
        <v>0</v>
      </c>
      <c r="K83" s="16"/>
      <c r="L83" s="34">
        <f>+D83-H83</f>
        <v>25802.467230769267</v>
      </c>
      <c r="M83" s="16"/>
      <c r="N83" s="35">
        <f>IF(H83=0,0,L83/H83)</f>
        <v>-0.37251726932205942</v>
      </c>
      <c r="O83" s="29"/>
      <c r="P83" s="34">
        <f>SUM(P80:P82)</f>
        <v>-450007.96000000014</v>
      </c>
      <c r="Q83" s="14"/>
      <c r="R83" s="35">
        <f>IF(P$12=0,0,P83/P$12)</f>
        <v>0</v>
      </c>
      <c r="S83" s="14"/>
      <c r="T83" s="34">
        <f>SUM(T80:T82)</f>
        <v>-545341.78363076982</v>
      </c>
      <c r="U83" s="14"/>
      <c r="V83" s="35">
        <f>IF(T$12=0,0,T83/T$12)</f>
        <v>0</v>
      </c>
      <c r="W83" s="16"/>
      <c r="X83" s="34">
        <f>+P83-T83</f>
        <v>95333.823630769679</v>
      </c>
      <c r="Y83" s="16"/>
      <c r="Z83" s="35">
        <f>IF(T83=0,0,X83/T83)</f>
        <v>-0.17481481612514141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2">
        <v>44330.0058283912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 t="s">
        <v>56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52587.89</v>
      </c>
      <c r="E18" s="22"/>
      <c r="F18" s="32">
        <f t="shared" ref="F18:F29" si="0">IF(D$12=0,0,D18/D$12)</f>
        <v>0</v>
      </c>
      <c r="G18" s="22"/>
      <c r="H18" s="22">
        <f>SUM(OSRRefH22x_0)</f>
        <v>57810.278538461578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-5222.3885384615787</v>
      </c>
      <c r="M18" s="4"/>
      <c r="N18" s="32">
        <f t="shared" ref="N18:N29" si="3">IF(H18=0,0,L18/H18)</f>
        <v>-9.0336678363988288E-2</v>
      </c>
      <c r="O18" s="10"/>
      <c r="P18" s="22">
        <f>SUM(OSRRefP22x_0)</f>
        <v>508748.49</v>
      </c>
      <c r="Q18" s="22"/>
      <c r="R18" s="32">
        <f t="shared" ref="R18:R29" si="4">IF(P$12=0,0,P18/P$12)</f>
        <v>0</v>
      </c>
      <c r="S18" s="22"/>
      <c r="T18" s="22">
        <f>SUM(OSRRefT22x_0)</f>
        <v>532393.21661538444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-23644.726615384454</v>
      </c>
      <c r="Y18" s="4"/>
      <c r="Z18" s="32">
        <f t="shared" ref="Z18:Z29" si="7">IF(T18=0,0,X18/T18)</f>
        <v>-4.4412148535066809E-2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12334.470000000001</v>
      </c>
      <c r="E19" s="1"/>
      <c r="F19" s="5">
        <f t="shared" si="0"/>
        <v>0</v>
      </c>
      <c r="G19" s="1"/>
      <c r="H19" s="1">
        <f>SUM(OSRRefH22_0x_0)</f>
        <v>12561.43238461538</v>
      </c>
      <c r="I19" s="1"/>
      <c r="J19" s="5">
        <f t="shared" si="1"/>
        <v>0</v>
      </c>
      <c r="K19" s="1"/>
      <c r="L19" s="1">
        <f t="shared" si="2"/>
        <v>-226.96238461537905</v>
      </c>
      <c r="M19" s="1"/>
      <c r="N19" s="5">
        <f t="shared" si="3"/>
        <v>-1.8068192994721791E-2</v>
      </c>
      <c r="O19" s="13"/>
      <c r="P19" s="1">
        <f>SUM(OSRRefP22_0x_0)</f>
        <v>121362.69</v>
      </c>
      <c r="Q19" s="1"/>
      <c r="R19" s="5">
        <f t="shared" si="4"/>
        <v>0</v>
      </c>
      <c r="S19" s="1"/>
      <c r="T19" s="1">
        <f>SUM(OSRRefT22_0x_0)</f>
        <v>118832.37046153849</v>
      </c>
      <c r="U19" s="1"/>
      <c r="V19" s="5">
        <f t="shared" si="5"/>
        <v>0</v>
      </c>
      <c r="W19" s="1"/>
      <c r="X19" s="1">
        <f t="shared" si="6"/>
        <v>2530.3195384615101</v>
      </c>
      <c r="Y19" s="1"/>
      <c r="Z19" s="5">
        <f t="shared" si="7"/>
        <v>2.1293184076307543E-2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2134.3200000000002</v>
      </c>
      <c r="E20" s="2"/>
      <c r="F20" s="6">
        <f t="shared" si="0"/>
        <v>0</v>
      </c>
      <c r="G20" s="2"/>
      <c r="H20" s="7">
        <v>2029.22238461538</v>
      </c>
      <c r="I20" s="2"/>
      <c r="J20" s="6">
        <f t="shared" si="1"/>
        <v>0</v>
      </c>
      <c r="K20" s="2"/>
      <c r="L20" s="7">
        <f t="shared" si="2"/>
        <v>105.09761538462021</v>
      </c>
      <c r="M20" s="2"/>
      <c r="N20" s="6">
        <f t="shared" si="3"/>
        <v>5.1792063886847213E-2</v>
      </c>
      <c r="O20" s="11"/>
      <c r="P20" s="7">
        <v>17676.310000000001</v>
      </c>
      <c r="Q20" s="2"/>
      <c r="R20" s="6">
        <f t="shared" si="4"/>
        <v>0</v>
      </c>
      <c r="S20" s="2"/>
      <c r="T20" s="7">
        <v>18138.7873846154</v>
      </c>
      <c r="U20" s="2"/>
      <c r="V20" s="6">
        <f t="shared" si="5"/>
        <v>0</v>
      </c>
      <c r="W20" s="2"/>
      <c r="X20" s="7">
        <f t="shared" si="6"/>
        <v>-462.47738461539848</v>
      </c>
      <c r="Y20" s="2"/>
      <c r="Z20" s="6">
        <f t="shared" si="7"/>
        <v>-2.5496598797318363E-2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61.13</v>
      </c>
      <c r="E21" s="2"/>
      <c r="F21" s="6">
        <f t="shared" si="0"/>
        <v>0</v>
      </c>
      <c r="G21" s="2"/>
      <c r="H21" s="7">
        <v>87.500769230769194</v>
      </c>
      <c r="I21" s="2"/>
      <c r="J21" s="6">
        <f t="shared" si="1"/>
        <v>0</v>
      </c>
      <c r="K21" s="2"/>
      <c r="L21" s="7">
        <f t="shared" si="2"/>
        <v>-26.370769230769191</v>
      </c>
      <c r="M21" s="2"/>
      <c r="N21" s="6">
        <f t="shared" si="3"/>
        <v>-0.30137757030707391</v>
      </c>
      <c r="O21" s="11"/>
      <c r="P21" s="7">
        <v>783.98</v>
      </c>
      <c r="Q21" s="2"/>
      <c r="R21" s="6">
        <f t="shared" si="4"/>
        <v>0</v>
      </c>
      <c r="S21" s="2"/>
      <c r="T21" s="7">
        <v>782.15076923076901</v>
      </c>
      <c r="U21" s="2"/>
      <c r="V21" s="6">
        <f t="shared" si="5"/>
        <v>0</v>
      </c>
      <c r="W21" s="2"/>
      <c r="X21" s="7">
        <f t="shared" si="6"/>
        <v>1.8292307692310033</v>
      </c>
      <c r="Y21" s="2"/>
      <c r="Z21" s="6">
        <f t="shared" si="7"/>
        <v>2.3387188777299526E-3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4844.5200000000004</v>
      </c>
      <c r="E22" s="2"/>
      <c r="F22" s="6">
        <f t="shared" si="0"/>
        <v>0</v>
      </c>
      <c r="G22" s="2"/>
      <c r="H22" s="7">
        <v>4922.3076923076896</v>
      </c>
      <c r="I22" s="2"/>
      <c r="J22" s="6">
        <f t="shared" si="1"/>
        <v>0</v>
      </c>
      <c r="K22" s="2"/>
      <c r="L22" s="7">
        <f t="shared" si="2"/>
        <v>-77.787692307689213</v>
      </c>
      <c r="M22" s="2"/>
      <c r="N22" s="6">
        <f t="shared" si="3"/>
        <v>-1.5803094233473359E-2</v>
      </c>
      <c r="O22" s="11"/>
      <c r="P22" s="7">
        <v>52758.46</v>
      </c>
      <c r="Q22" s="2"/>
      <c r="R22" s="6">
        <f t="shared" si="4"/>
        <v>0</v>
      </c>
      <c r="S22" s="2"/>
      <c r="T22" s="7">
        <v>50356.730769230802</v>
      </c>
      <c r="U22" s="2"/>
      <c r="V22" s="6">
        <f t="shared" si="5"/>
        <v>0</v>
      </c>
      <c r="W22" s="2"/>
      <c r="X22" s="7">
        <f t="shared" si="6"/>
        <v>2401.7292307691969</v>
      </c>
      <c r="Y22" s="2"/>
      <c r="Z22" s="6">
        <f t="shared" si="7"/>
        <v>4.76943040995964E-2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48.16</v>
      </c>
      <c r="E23" s="2"/>
      <c r="F23" s="6">
        <f t="shared" si="0"/>
        <v>0</v>
      </c>
      <c r="G23" s="2"/>
      <c r="H23" s="7">
        <v>68.94</v>
      </c>
      <c r="I23" s="2"/>
      <c r="J23" s="6">
        <f t="shared" si="1"/>
        <v>0</v>
      </c>
      <c r="K23" s="2"/>
      <c r="L23" s="7">
        <f t="shared" si="2"/>
        <v>-20.78</v>
      </c>
      <c r="M23" s="2"/>
      <c r="N23" s="6">
        <f t="shared" si="3"/>
        <v>-0.30142152596460692</v>
      </c>
      <c r="O23" s="11"/>
      <c r="P23" s="7">
        <v>578.5</v>
      </c>
      <c r="Q23" s="2"/>
      <c r="R23" s="6">
        <f t="shared" si="4"/>
        <v>0</v>
      </c>
      <c r="S23" s="2"/>
      <c r="T23" s="7">
        <v>616.24</v>
      </c>
      <c r="U23" s="2"/>
      <c r="V23" s="6">
        <f t="shared" si="5"/>
        <v>0</v>
      </c>
      <c r="W23" s="2"/>
      <c r="X23" s="7">
        <f t="shared" si="6"/>
        <v>-37.740000000000009</v>
      </c>
      <c r="Y23" s="2"/>
      <c r="Z23" s="6">
        <f t="shared" si="7"/>
        <v>-6.124237310138908E-2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1901.9230769230801</v>
      </c>
      <c r="I24" s="2"/>
      <c r="J24" s="6">
        <f t="shared" si="1"/>
        <v>0</v>
      </c>
      <c r="K24" s="2"/>
      <c r="L24" s="7">
        <f t="shared" si="2"/>
        <v>-40.713076923080052</v>
      </c>
      <c r="M24" s="2"/>
      <c r="N24" s="6">
        <f t="shared" si="3"/>
        <v>-2.1406268958545593E-2</v>
      </c>
      <c r="O24" s="11"/>
      <c r="P24" s="7">
        <v>21928.53</v>
      </c>
      <c r="Q24" s="2"/>
      <c r="R24" s="6">
        <f t="shared" si="4"/>
        <v>0</v>
      </c>
      <c r="S24" s="2"/>
      <c r="T24" s="7">
        <v>16736.9230769231</v>
      </c>
      <c r="U24" s="2"/>
      <c r="V24" s="6">
        <f t="shared" si="5"/>
        <v>0</v>
      </c>
      <c r="W24" s="2"/>
      <c r="X24" s="7">
        <f t="shared" si="6"/>
        <v>5191.606923076899</v>
      </c>
      <c r="Y24" s="2"/>
      <c r="Z24" s="6">
        <f t="shared" si="7"/>
        <v>0.3101888500781303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3000</v>
      </c>
      <c r="U25" s="2"/>
      <c r="V25" s="6">
        <f t="shared" si="5"/>
        <v>0</v>
      </c>
      <c r="W25" s="2"/>
      <c r="X25" s="7">
        <f t="shared" si="6"/>
        <v>-3000</v>
      </c>
      <c r="Y25" s="2"/>
      <c r="Z25" s="6">
        <f t="shared" si="7"/>
        <v>-1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912.28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912.28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2017.92</v>
      </c>
      <c r="E27" s="2"/>
      <c r="F27" s="6">
        <f t="shared" si="0"/>
        <v>0</v>
      </c>
      <c r="G27" s="2"/>
      <c r="H27" s="7">
        <v>1325.76923076923</v>
      </c>
      <c r="I27" s="2"/>
      <c r="J27" s="6">
        <f t="shared" si="1"/>
        <v>0</v>
      </c>
      <c r="K27" s="2"/>
      <c r="L27" s="7">
        <f t="shared" si="2"/>
        <v>692.15076923077004</v>
      </c>
      <c r="M27" s="2"/>
      <c r="N27" s="6">
        <f t="shared" si="3"/>
        <v>0.52207484769364754</v>
      </c>
      <c r="O27" s="11"/>
      <c r="P27" s="7">
        <v>15089.66</v>
      </c>
      <c r="Q27" s="2"/>
      <c r="R27" s="6">
        <f t="shared" si="4"/>
        <v>0</v>
      </c>
      <c r="S27" s="2"/>
      <c r="T27" s="7">
        <v>11600.7692307692</v>
      </c>
      <c r="U27" s="2"/>
      <c r="V27" s="6">
        <f t="shared" si="5"/>
        <v>0</v>
      </c>
      <c r="W27" s="2"/>
      <c r="X27" s="7">
        <f t="shared" si="6"/>
        <v>3488.8907692308003</v>
      </c>
      <c r="Y27" s="2"/>
      <c r="Z27" s="6">
        <f t="shared" si="7"/>
        <v>0.30074650222134158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1266.0899999999999</v>
      </c>
      <c r="E28" s="2"/>
      <c r="F28" s="6">
        <f t="shared" si="0"/>
        <v>0</v>
      </c>
      <c r="G28" s="2"/>
      <c r="H28" s="7">
        <v>1325.76923076923</v>
      </c>
      <c r="I28" s="2"/>
      <c r="J28" s="6">
        <f t="shared" si="1"/>
        <v>0</v>
      </c>
      <c r="K28" s="2"/>
      <c r="L28" s="7">
        <f t="shared" si="2"/>
        <v>-59.679230769230116</v>
      </c>
      <c r="M28" s="2"/>
      <c r="N28" s="6">
        <f t="shared" si="3"/>
        <v>-4.5014795474325034E-2</v>
      </c>
      <c r="O28" s="11"/>
      <c r="P28" s="7">
        <v>10059.56</v>
      </c>
      <c r="Q28" s="2"/>
      <c r="R28" s="6">
        <f t="shared" si="4"/>
        <v>0</v>
      </c>
      <c r="S28" s="2"/>
      <c r="T28" s="7">
        <v>11600.7692307692</v>
      </c>
      <c r="U28" s="2"/>
      <c r="V28" s="6">
        <f t="shared" si="5"/>
        <v>0</v>
      </c>
      <c r="W28" s="2"/>
      <c r="X28" s="7">
        <f t="shared" si="6"/>
        <v>-1541.2092307692001</v>
      </c>
      <c r="Y28" s="2"/>
      <c r="Z28" s="6">
        <f t="shared" si="7"/>
        <v>-0.13285405477090151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101.12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-498.88</v>
      </c>
      <c r="M29" s="2"/>
      <c r="N29" s="6">
        <f t="shared" si="3"/>
        <v>-0.83146666666666669</v>
      </c>
      <c r="O29" s="11"/>
      <c r="P29" s="7">
        <v>1575.41</v>
      </c>
      <c r="Q29" s="2"/>
      <c r="R29" s="6">
        <f t="shared" si="4"/>
        <v>0</v>
      </c>
      <c r="S29" s="2"/>
      <c r="T29" s="7">
        <v>6000</v>
      </c>
      <c r="U29" s="2"/>
      <c r="V29" s="6">
        <f t="shared" si="5"/>
        <v>0</v>
      </c>
      <c r="W29" s="2"/>
      <c r="X29" s="7">
        <f t="shared" si="6"/>
        <v>-4424.59</v>
      </c>
      <c r="Y29" s="2"/>
      <c r="Z29" s="6">
        <f t="shared" si="7"/>
        <v>-0.73743166666666671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20593.09</v>
      </c>
      <c r="E30" s="1"/>
      <c r="F30" s="5">
        <f t="shared" ref="F30:F40" si="8">IF(D$12=0,0,D30/D$12)</f>
        <v>0</v>
      </c>
      <c r="G30" s="1"/>
      <c r="H30" s="1">
        <f>SUM(OSRRefH22_1x_0)</f>
        <v>23863.8461538462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-3270.7561538461996</v>
      </c>
      <c r="M30" s="1"/>
      <c r="N30" s="5">
        <f t="shared" ref="N30:N40" si="11">IF(H30=0,0,L30/H30)</f>
        <v>-0.13705905296070822</v>
      </c>
      <c r="O30" s="13"/>
      <c r="P30" s="1">
        <f>SUM(OSRRefP22_1x_0)</f>
        <v>201726.91999999998</v>
      </c>
      <c r="Q30" s="1"/>
      <c r="R30" s="5">
        <f t="shared" ref="R30:R40" si="12">IF(P$12=0,0,P30/P$12)</f>
        <v>0</v>
      </c>
      <c r="S30" s="1"/>
      <c r="T30" s="1">
        <f>SUM(OSRRefT22_1x_0)</f>
        <v>213813.84615384601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-12086.926153846027</v>
      </c>
      <c r="Y30" s="1"/>
      <c r="Z30" s="5">
        <f t="shared" ref="Z30:Z40" si="15">IF(T30=0,0,X30/T30)</f>
        <v>-5.6530137646694269E-2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20593.09</v>
      </c>
      <c r="E32" s="2"/>
      <c r="F32" s="6">
        <f t="shared" si="8"/>
        <v>0</v>
      </c>
      <c r="G32" s="2"/>
      <c r="H32" s="7">
        <v>19903.8461538462</v>
      </c>
      <c r="I32" s="2"/>
      <c r="J32" s="6">
        <f t="shared" si="9"/>
        <v>0</v>
      </c>
      <c r="K32" s="2"/>
      <c r="L32" s="7">
        <f t="shared" si="10"/>
        <v>689.2438461538004</v>
      </c>
      <c r="M32" s="2"/>
      <c r="N32" s="6">
        <f t="shared" si="11"/>
        <v>3.4628676328500037E-2</v>
      </c>
      <c r="O32" s="11"/>
      <c r="P32" s="7">
        <v>187513.68</v>
      </c>
      <c r="Q32" s="2"/>
      <c r="R32" s="6">
        <f t="shared" si="12"/>
        <v>0</v>
      </c>
      <c r="S32" s="2"/>
      <c r="T32" s="7">
        <v>175153.84615384601</v>
      </c>
      <c r="U32" s="2"/>
      <c r="V32" s="6">
        <f t="shared" si="13"/>
        <v>0</v>
      </c>
      <c r="W32" s="2"/>
      <c r="X32" s="7">
        <f t="shared" si="14"/>
        <v>12359.833846153982</v>
      </c>
      <c r="Y32" s="2"/>
      <c r="Z32" s="6">
        <f t="shared" si="15"/>
        <v>7.0565586297761052E-2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3960</v>
      </c>
      <c r="I34" s="2"/>
      <c r="J34" s="6">
        <f t="shared" si="9"/>
        <v>0</v>
      </c>
      <c r="K34" s="2"/>
      <c r="L34" s="7">
        <f t="shared" si="10"/>
        <v>-3960</v>
      </c>
      <c r="M34" s="2"/>
      <c r="N34" s="6">
        <f t="shared" si="11"/>
        <v>-1</v>
      </c>
      <c r="O34" s="11"/>
      <c r="P34" s="7">
        <v>14213.24</v>
      </c>
      <c r="Q34" s="2"/>
      <c r="R34" s="6">
        <f t="shared" si="12"/>
        <v>0</v>
      </c>
      <c r="S34" s="2"/>
      <c r="T34" s="7">
        <v>38660</v>
      </c>
      <c r="U34" s="2"/>
      <c r="V34" s="6">
        <f t="shared" si="13"/>
        <v>0</v>
      </c>
      <c r="W34" s="2"/>
      <c r="X34" s="7">
        <f t="shared" si="14"/>
        <v>-24446.760000000002</v>
      </c>
      <c r="Y34" s="2"/>
      <c r="Z34" s="6">
        <f t="shared" si="15"/>
        <v>-0.63235281945162969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3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4994.01</v>
      </c>
      <c r="E43" s="1"/>
      <c r="F43" s="5">
        <f t="shared" si="16"/>
        <v>0</v>
      </c>
      <c r="G43" s="1"/>
      <c r="H43" s="1">
        <f>SUM(OSRRefH22_3x_0)</f>
        <v>4994</v>
      </c>
      <c r="I43" s="1"/>
      <c r="J43" s="5">
        <f t="shared" si="17"/>
        <v>0</v>
      </c>
      <c r="K43" s="1"/>
      <c r="L43" s="1">
        <f t="shared" si="18"/>
        <v>1.0000000000218279E-2</v>
      </c>
      <c r="M43" s="1"/>
      <c r="N43" s="5">
        <f t="shared" si="19"/>
        <v>2.0024028835038606E-6</v>
      </c>
      <c r="O43" s="13"/>
      <c r="P43" s="1">
        <f>SUM(OSRRefP22_3x_0)</f>
        <v>51510.8</v>
      </c>
      <c r="Q43" s="1"/>
      <c r="R43" s="5">
        <f t="shared" si="20"/>
        <v>0</v>
      </c>
      <c r="S43" s="1"/>
      <c r="T43" s="1">
        <f>SUM(OSRRefT22_3x_0)</f>
        <v>46248</v>
      </c>
      <c r="U43" s="1"/>
      <c r="V43" s="5">
        <f t="shared" si="21"/>
        <v>0</v>
      </c>
      <c r="W43" s="1"/>
      <c r="X43" s="1">
        <f t="shared" si="22"/>
        <v>5262.8000000000029</v>
      </c>
      <c r="Y43" s="1"/>
      <c r="Z43" s="5">
        <f t="shared" si="23"/>
        <v>0.11379519114340086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4994.01</v>
      </c>
      <c r="E44" s="2"/>
      <c r="F44" s="6">
        <f t="shared" si="16"/>
        <v>0</v>
      </c>
      <c r="G44" s="2"/>
      <c r="H44" s="7">
        <v>4994</v>
      </c>
      <c r="I44" s="2"/>
      <c r="J44" s="6">
        <f t="shared" si="17"/>
        <v>0</v>
      </c>
      <c r="K44" s="2"/>
      <c r="L44" s="7">
        <f t="shared" si="18"/>
        <v>1.0000000000218279E-2</v>
      </c>
      <c r="M44" s="2"/>
      <c r="N44" s="6">
        <f t="shared" si="19"/>
        <v>2.0024028835038606E-6</v>
      </c>
      <c r="O44" s="11"/>
      <c r="P44" s="7">
        <v>51510.8</v>
      </c>
      <c r="Q44" s="2"/>
      <c r="R44" s="6">
        <f t="shared" si="20"/>
        <v>0</v>
      </c>
      <c r="S44" s="2"/>
      <c r="T44" s="7">
        <v>46148</v>
      </c>
      <c r="U44" s="2"/>
      <c r="V44" s="6">
        <f t="shared" si="21"/>
        <v>0</v>
      </c>
      <c r="W44" s="2"/>
      <c r="X44" s="7">
        <f t="shared" si="22"/>
        <v>5362.8000000000029</v>
      </c>
      <c r="Y44" s="2"/>
      <c r="Z44" s="6">
        <f t="shared" si="23"/>
        <v>0.11620871977117107</v>
      </c>
    </row>
    <row r="45" spans="1:26" s="24" customFormat="1" hidden="1" outlineLevel="2" x14ac:dyDescent="0.25">
      <c r="A45" s="26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5" customFormat="1" outlineLevel="1" collapsed="1" x14ac:dyDescent="0.25">
      <c r="A46" s="27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3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5.7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5.7</v>
      </c>
      <c r="Y47" s="2"/>
      <c r="Z47" s="6">
        <f t="shared" si="31"/>
        <v>0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5" customFormat="1" outlineLevel="1" collapsed="1" x14ac:dyDescent="0.25">
      <c r="A50" s="27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3"/>
      <c r="P50" s="1">
        <f>SUM(OSRRefP22_6x_0)</f>
        <v>563.4</v>
      </c>
      <c r="Q50" s="1"/>
      <c r="R50" s="5">
        <f t="shared" si="28"/>
        <v>0</v>
      </c>
      <c r="S50" s="1"/>
      <c r="T50" s="1">
        <f>SUM(OSRRefT22_6x_0)</f>
        <v>1149</v>
      </c>
      <c r="U50" s="1"/>
      <c r="V50" s="5">
        <f t="shared" si="29"/>
        <v>0</v>
      </c>
      <c r="W50" s="1"/>
      <c r="X50" s="1">
        <f t="shared" si="30"/>
        <v>-585.6</v>
      </c>
      <c r="Y50" s="1"/>
      <c r="Z50" s="5">
        <f t="shared" si="31"/>
        <v>-0.50966057441253265</v>
      </c>
    </row>
    <row r="51" spans="1:26" s="24" customFormat="1" hidden="1" outlineLevel="2" x14ac:dyDescent="0.25">
      <c r="A51" s="26"/>
      <c r="B51" s="11" t="str">
        <f>CONCATENATE("          ", "6314", " - ", "LIABILITY INSURANCE")</f>
        <v xml:space="preserve">          6314 - LIABILITY INSURANCE</v>
      </c>
      <c r="C51" s="11"/>
      <c r="D51" s="7">
        <v>56.34</v>
      </c>
      <c r="E51" s="2"/>
      <c r="F51" s="6">
        <f t="shared" si="24"/>
        <v>0</v>
      </c>
      <c r="G51" s="2"/>
      <c r="H51" s="7">
        <v>61</v>
      </c>
      <c r="I51" s="2"/>
      <c r="J51" s="6">
        <f t="shared" si="25"/>
        <v>0</v>
      </c>
      <c r="K51" s="2"/>
      <c r="L51" s="7">
        <f t="shared" si="26"/>
        <v>-4.6599999999999966</v>
      </c>
      <c r="M51" s="2"/>
      <c r="N51" s="6">
        <f t="shared" si="27"/>
        <v>-7.6393442622950766E-2</v>
      </c>
      <c r="O51" s="11"/>
      <c r="P51" s="7">
        <v>563.4</v>
      </c>
      <c r="Q51" s="2"/>
      <c r="R51" s="6">
        <f t="shared" si="28"/>
        <v>0</v>
      </c>
      <c r="S51" s="2"/>
      <c r="T51" s="7">
        <v>1149</v>
      </c>
      <c r="U51" s="2"/>
      <c r="V51" s="6">
        <f t="shared" si="29"/>
        <v>0</v>
      </c>
      <c r="W51" s="2"/>
      <c r="X51" s="7">
        <f t="shared" si="30"/>
        <v>-585.6</v>
      </c>
      <c r="Y51" s="2"/>
      <c r="Z51" s="6">
        <f t="shared" si="31"/>
        <v>-0.50966057441253265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14188.5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-721.5</v>
      </c>
      <c r="M52" s="1"/>
      <c r="N52" s="5">
        <f t="shared" si="27"/>
        <v>-4.8390342052313885E-2</v>
      </c>
      <c r="O52" s="13"/>
      <c r="P52" s="1">
        <f>SUM(OSRRefP22_7x_0)</f>
        <v>127548.98</v>
      </c>
      <c r="Q52" s="1"/>
      <c r="R52" s="5">
        <f t="shared" si="28"/>
        <v>0</v>
      </c>
      <c r="S52" s="1"/>
      <c r="T52" s="1">
        <f>SUM(OSRRefT22_7x_0)</f>
        <v>136650</v>
      </c>
      <c r="U52" s="1"/>
      <c r="V52" s="5">
        <f t="shared" si="29"/>
        <v>0</v>
      </c>
      <c r="W52" s="1"/>
      <c r="X52" s="1">
        <f t="shared" si="30"/>
        <v>-9101.0200000000041</v>
      </c>
      <c r="Y52" s="1"/>
      <c r="Z52" s="5">
        <f t="shared" si="31"/>
        <v>-6.6600951335528749E-2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1996.5</v>
      </c>
      <c r="E53" s="2"/>
      <c r="F53" s="6">
        <f t="shared" si="24"/>
        <v>0</v>
      </c>
      <c r="G53" s="2"/>
      <c r="H53" s="7">
        <v>660</v>
      </c>
      <c r="I53" s="2"/>
      <c r="J53" s="6">
        <f t="shared" si="25"/>
        <v>0</v>
      </c>
      <c r="K53" s="2"/>
      <c r="L53" s="7">
        <f t="shared" si="26"/>
        <v>1336.5</v>
      </c>
      <c r="M53" s="2"/>
      <c r="N53" s="6">
        <f t="shared" si="27"/>
        <v>2.0249999999999999</v>
      </c>
      <c r="O53" s="11"/>
      <c r="P53" s="7">
        <v>6063.98</v>
      </c>
      <c r="Q53" s="2"/>
      <c r="R53" s="6">
        <f t="shared" si="28"/>
        <v>0</v>
      </c>
      <c r="S53" s="2"/>
      <c r="T53" s="7">
        <v>6600</v>
      </c>
      <c r="U53" s="2"/>
      <c r="V53" s="6">
        <f t="shared" si="29"/>
        <v>0</v>
      </c>
      <c r="W53" s="2"/>
      <c r="X53" s="7">
        <f t="shared" si="30"/>
        <v>-536.02000000000044</v>
      </c>
      <c r="Y53" s="2"/>
      <c r="Z53" s="6">
        <f t="shared" si="31"/>
        <v>-8.1215151515151587E-2</v>
      </c>
    </row>
    <row r="54" spans="1:26" s="24" customFormat="1" hidden="1" outlineLevel="2" x14ac:dyDescent="0.25">
      <c r="A54" s="26"/>
      <c r="B54" s="11" t="str">
        <f>CONCATENATE("          ", "6372", " - ", "COMPUTER HARDWARE MAINTENANCE")</f>
        <v xml:space="preserve">          6372 - COMPUTER HARDWARE MAINTENANCE</v>
      </c>
      <c r="C54" s="11"/>
      <c r="D54" s="7"/>
      <c r="E54" s="2"/>
      <c r="F54" s="6">
        <f t="shared" si="24"/>
        <v>0</v>
      </c>
      <c r="G54" s="2"/>
      <c r="H54" s="7">
        <v>1600</v>
      </c>
      <c r="I54" s="2"/>
      <c r="J54" s="6">
        <f t="shared" si="25"/>
        <v>0</v>
      </c>
      <c r="K54" s="2"/>
      <c r="L54" s="7">
        <f t="shared" si="26"/>
        <v>-1600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16000</v>
      </c>
      <c r="U54" s="2"/>
      <c r="V54" s="6">
        <f t="shared" si="29"/>
        <v>0</v>
      </c>
      <c r="W54" s="2"/>
      <c r="X54" s="7">
        <f t="shared" si="30"/>
        <v>-16000</v>
      </c>
      <c r="Y54" s="2"/>
      <c r="Z54" s="6">
        <f t="shared" si="31"/>
        <v>-1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12192</v>
      </c>
      <c r="E55" s="2"/>
      <c r="F55" s="6">
        <f t="shared" si="24"/>
        <v>0</v>
      </c>
      <c r="G55" s="2"/>
      <c r="H55" s="7">
        <v>12650</v>
      </c>
      <c r="I55" s="2"/>
      <c r="J55" s="6">
        <f t="shared" si="25"/>
        <v>0</v>
      </c>
      <c r="K55" s="2"/>
      <c r="L55" s="7">
        <f t="shared" si="26"/>
        <v>-458</v>
      </c>
      <c r="M55" s="2"/>
      <c r="N55" s="6">
        <f t="shared" si="27"/>
        <v>-3.6205533596837945E-2</v>
      </c>
      <c r="O55" s="11"/>
      <c r="P55" s="7">
        <v>121485</v>
      </c>
      <c r="Q55" s="2"/>
      <c r="R55" s="6">
        <f t="shared" si="28"/>
        <v>0</v>
      </c>
      <c r="S55" s="2"/>
      <c r="T55" s="7">
        <v>114050</v>
      </c>
      <c r="U55" s="2"/>
      <c r="V55" s="6">
        <f t="shared" si="29"/>
        <v>0</v>
      </c>
      <c r="W55" s="2"/>
      <c r="X55" s="7">
        <f t="shared" si="30"/>
        <v>7435</v>
      </c>
      <c r="Y55" s="2"/>
      <c r="Z55" s="6">
        <f t="shared" si="31"/>
        <v>6.5190705830775977E-2</v>
      </c>
    </row>
    <row r="56" spans="1:26" s="25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3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1900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-1900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900</v>
      </c>
      <c r="U57" s="2"/>
      <c r="V57" s="6">
        <f t="shared" si="37"/>
        <v>0</v>
      </c>
      <c r="W57" s="2"/>
      <c r="X57" s="7">
        <f t="shared" si="38"/>
        <v>-900</v>
      </c>
      <c r="Y57" s="2"/>
      <c r="Z57" s="6">
        <f t="shared" si="39"/>
        <v>-1</v>
      </c>
    </row>
    <row r="58" spans="1:26" s="24" customFormat="1" hidden="1" outlineLevel="2" x14ac:dyDescent="0.25">
      <c r="A58" s="26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1000</v>
      </c>
      <c r="U58" s="2"/>
      <c r="V58" s="6">
        <f t="shared" si="37"/>
        <v>0</v>
      </c>
      <c r="W58" s="2"/>
      <c r="X58" s="7">
        <f t="shared" si="38"/>
        <v>-1000</v>
      </c>
      <c r="Y58" s="2"/>
      <c r="Z58" s="6">
        <f t="shared" si="39"/>
        <v>-1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SUM(OSRRefD22_9x_0)</f>
        <v>59.15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-240.85</v>
      </c>
      <c r="M59" s="1"/>
      <c r="N59" s="5">
        <f t="shared" ref="N59:N63" si="43">IF(H59=0,0,L59/H59)</f>
        <v>-0.80283333333333329</v>
      </c>
      <c r="O59" s="13"/>
      <c r="P59" s="1">
        <f>SUM(OSRRefP22_9x_0)</f>
        <v>-1728.07</v>
      </c>
      <c r="Q59" s="1"/>
      <c r="R59" s="5">
        <f t="shared" ref="R59:R63" si="44">IF(P$12=0,0,P59/P$12)</f>
        <v>0</v>
      </c>
      <c r="S59" s="1"/>
      <c r="T59" s="1">
        <f>SUM(OSRRefT22_9x_0)</f>
        <v>3000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-4728.07</v>
      </c>
      <c r="Y59" s="1"/>
      <c r="Z59" s="5">
        <f t="shared" ref="Z59:Z63" si="47">IF(T59=0,0,X59/T59)</f>
        <v>-1.5760233333333333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>
        <v>59.15</v>
      </c>
      <c r="E60" s="2"/>
      <c r="F60" s="6">
        <f t="shared" si="40"/>
        <v>0</v>
      </c>
      <c r="G60" s="2"/>
      <c r="H60" s="7">
        <v>300</v>
      </c>
      <c r="I60" s="2"/>
      <c r="J60" s="6">
        <f t="shared" si="41"/>
        <v>0</v>
      </c>
      <c r="K60" s="2"/>
      <c r="L60" s="7">
        <f t="shared" si="42"/>
        <v>-240.85</v>
      </c>
      <c r="M60" s="2"/>
      <c r="N60" s="6">
        <f t="shared" si="43"/>
        <v>-0.80283333333333329</v>
      </c>
      <c r="O60" s="11"/>
      <c r="P60" s="7">
        <v>-1728.07</v>
      </c>
      <c r="Q60" s="2"/>
      <c r="R60" s="6">
        <f t="shared" si="44"/>
        <v>0</v>
      </c>
      <c r="S60" s="2"/>
      <c r="T60" s="7">
        <v>3000</v>
      </c>
      <c r="U60" s="2"/>
      <c r="V60" s="6">
        <f t="shared" si="45"/>
        <v>0</v>
      </c>
      <c r="W60" s="2"/>
      <c r="X60" s="7">
        <f t="shared" si="46"/>
        <v>-4728.07</v>
      </c>
      <c r="Y60" s="2"/>
      <c r="Z60" s="6">
        <f t="shared" si="47"/>
        <v>-1.5760233333333333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362.33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-32.670000000000016</v>
      </c>
      <c r="M61" s="1"/>
      <c r="N61" s="5">
        <f t="shared" si="43"/>
        <v>-8.2708860759493713E-2</v>
      </c>
      <c r="O61" s="13"/>
      <c r="P61" s="1">
        <f>SUM(OSRRefP22_10x_0)</f>
        <v>7260.07</v>
      </c>
      <c r="Q61" s="1"/>
      <c r="R61" s="5">
        <f t="shared" si="44"/>
        <v>0</v>
      </c>
      <c r="S61" s="1"/>
      <c r="T61" s="1">
        <f>SUM(OSRRefT22_10x_0)</f>
        <v>3950</v>
      </c>
      <c r="U61" s="1"/>
      <c r="V61" s="5">
        <f t="shared" si="45"/>
        <v>0</v>
      </c>
      <c r="W61" s="1"/>
      <c r="X61" s="1">
        <f t="shared" si="46"/>
        <v>3310.0699999999997</v>
      </c>
      <c r="Y61" s="1"/>
      <c r="Z61" s="5">
        <f t="shared" si="47"/>
        <v>0.83799240506329109</v>
      </c>
    </row>
    <row r="62" spans="1:26" s="24" customFormat="1" hidden="1" outlineLevel="2" x14ac:dyDescent="0.25">
      <c r="A62" s="26"/>
      <c r="B62" s="11" t="str">
        <f>CONCATENATE("          ", "6303", " - ", "DATA PHONE LINES")</f>
        <v xml:space="preserve">          6303 - DATA PHONE LINES</v>
      </c>
      <c r="C62" s="11"/>
      <c r="D62" s="7">
        <v>161.97999999999999</v>
      </c>
      <c r="E62" s="2"/>
      <c r="F62" s="6">
        <f t="shared" si="40"/>
        <v>0</v>
      </c>
      <c r="G62" s="2"/>
      <c r="H62" s="7">
        <v>335</v>
      </c>
      <c r="I62" s="2"/>
      <c r="J62" s="6">
        <f t="shared" si="41"/>
        <v>0</v>
      </c>
      <c r="K62" s="2"/>
      <c r="L62" s="7">
        <f t="shared" si="42"/>
        <v>-173.02</v>
      </c>
      <c r="M62" s="2"/>
      <c r="N62" s="6">
        <f t="shared" si="43"/>
        <v>-0.51647761194029851</v>
      </c>
      <c r="O62" s="11"/>
      <c r="P62" s="7">
        <v>1403.82</v>
      </c>
      <c r="Q62" s="2"/>
      <c r="R62" s="6">
        <f t="shared" si="44"/>
        <v>0</v>
      </c>
      <c r="S62" s="2"/>
      <c r="T62" s="7">
        <v>3350</v>
      </c>
      <c r="U62" s="2"/>
      <c r="V62" s="6">
        <f t="shared" si="45"/>
        <v>0</v>
      </c>
      <c r="W62" s="2"/>
      <c r="X62" s="7">
        <f t="shared" si="46"/>
        <v>-1946.18</v>
      </c>
      <c r="Y62" s="2"/>
      <c r="Z62" s="6">
        <f t="shared" si="47"/>
        <v>-0.58094925373134332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7">
        <v>200.35</v>
      </c>
      <c r="E63" s="2"/>
      <c r="F63" s="6">
        <f t="shared" si="40"/>
        <v>0</v>
      </c>
      <c r="G63" s="2"/>
      <c r="H63" s="7">
        <v>60</v>
      </c>
      <c r="I63" s="2"/>
      <c r="J63" s="6">
        <f t="shared" si="41"/>
        <v>0</v>
      </c>
      <c r="K63" s="2"/>
      <c r="L63" s="7">
        <f t="shared" si="42"/>
        <v>140.35</v>
      </c>
      <c r="M63" s="2"/>
      <c r="N63" s="6">
        <f t="shared" si="43"/>
        <v>2.3391666666666664</v>
      </c>
      <c r="O63" s="11"/>
      <c r="P63" s="7">
        <v>5856.25</v>
      </c>
      <c r="Q63" s="2"/>
      <c r="R63" s="6">
        <f t="shared" si="44"/>
        <v>0</v>
      </c>
      <c r="S63" s="2"/>
      <c r="T63" s="7">
        <v>600</v>
      </c>
      <c r="U63" s="2"/>
      <c r="V63" s="6">
        <f t="shared" si="45"/>
        <v>0</v>
      </c>
      <c r="W63" s="2"/>
      <c r="X63" s="7">
        <f t="shared" si="46"/>
        <v>5256.25</v>
      </c>
      <c r="Y63" s="2"/>
      <c r="Z63" s="6">
        <f t="shared" si="47"/>
        <v>8.7604166666666661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0</v>
      </c>
      <c r="M64" s="1"/>
      <c r="N64" s="5">
        <f t="shared" ref="N64:N67" si="51">IF(H64=0,0,L64/H64)</f>
        <v>0</v>
      </c>
      <c r="O64" s="13"/>
      <c r="P64" s="1">
        <f>SUM(OSRRefP22_11x_0)</f>
        <v>498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498</v>
      </c>
      <c r="Y64" s="1"/>
      <c r="Z64" s="5">
        <f t="shared" ref="Z64:Z67" si="55">IF(T64=0,0,X64/T64)</f>
        <v>0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0</v>
      </c>
      <c r="M65" s="2"/>
      <c r="N65" s="6">
        <f t="shared" si="51"/>
        <v>0</v>
      </c>
      <c r="O65" s="11"/>
      <c r="P65" s="7">
        <v>498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498</v>
      </c>
      <c r="Y65" s="2"/>
      <c r="Z65" s="6">
        <f t="shared" si="55"/>
        <v>0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6250</v>
      </c>
      <c r="U66" s="1"/>
      <c r="V66" s="5">
        <f t="shared" si="53"/>
        <v>0</v>
      </c>
      <c r="W66" s="1"/>
      <c r="X66" s="1">
        <f t="shared" si="54"/>
        <v>-6250</v>
      </c>
      <c r="Y66" s="1"/>
      <c r="Z66" s="5">
        <f t="shared" si="55"/>
        <v>-1</v>
      </c>
    </row>
    <row r="67" spans="1:26" s="24" customFormat="1" hidden="1" outlineLevel="2" x14ac:dyDescent="0.25">
      <c r="A67" s="26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8"/>
        <v>0</v>
      </c>
      <c r="G67" s="2"/>
      <c r="H67" s="7">
        <v>625</v>
      </c>
      <c r="I67" s="2"/>
      <c r="J67" s="6">
        <f t="shared" si="49"/>
        <v>0</v>
      </c>
      <c r="K67" s="2"/>
      <c r="L67" s="7">
        <f t="shared" si="50"/>
        <v>-625</v>
      </c>
      <c r="M67" s="2"/>
      <c r="N67" s="6">
        <f t="shared" si="51"/>
        <v>-1</v>
      </c>
      <c r="O67" s="11"/>
      <c r="P67" s="7"/>
      <c r="Q67" s="2"/>
      <c r="R67" s="6">
        <f t="shared" si="52"/>
        <v>0</v>
      </c>
      <c r="S67" s="2"/>
      <c r="T67" s="7">
        <v>6250</v>
      </c>
      <c r="U67" s="2"/>
      <c r="V67" s="6">
        <f t="shared" si="53"/>
        <v>0</v>
      </c>
      <c r="W67" s="2"/>
      <c r="X67" s="7">
        <f t="shared" si="54"/>
        <v>-6250</v>
      </c>
      <c r="Y67" s="2"/>
      <c r="Z67" s="6">
        <f t="shared" si="55"/>
        <v>-1</v>
      </c>
    </row>
    <row r="68" spans="1:26" s="61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277</v>
      </c>
      <c r="C71" s="28"/>
      <c r="D71" s="21">
        <f>+D16-D18+D69</f>
        <v>-52587.89</v>
      </c>
      <c r="E71" s="14"/>
      <c r="F71" s="20">
        <f>IF(D$12=0,0,D71/D$12)</f>
        <v>0</v>
      </c>
      <c r="G71" s="14"/>
      <c r="H71" s="21">
        <f>+H16-H18+H69</f>
        <v>-57810.278538461578</v>
      </c>
      <c r="I71" s="14"/>
      <c r="J71" s="20">
        <f>IF(H$12=0,0,H71/H$12)</f>
        <v>0</v>
      </c>
      <c r="K71" s="16"/>
      <c r="L71" s="21">
        <f>+D71-H71</f>
        <v>5222.3885384615787</v>
      </c>
      <c r="M71" s="16"/>
      <c r="N71" s="20">
        <f>IF(H71=0,0,L71/H71)</f>
        <v>-9.0336678363988288E-2</v>
      </c>
      <c r="O71" s="29"/>
      <c r="P71" s="21">
        <f>+P16-P18+P69</f>
        <v>-508748.49</v>
      </c>
      <c r="Q71" s="14"/>
      <c r="R71" s="20">
        <f>IF(P$12=0,0,P71/P$12)</f>
        <v>0</v>
      </c>
      <c r="S71" s="14"/>
      <c r="T71" s="21">
        <f>+T16-T18+T69</f>
        <v>-532393.21661538444</v>
      </c>
      <c r="U71" s="14"/>
      <c r="V71" s="20">
        <f>IF(T$12=0,0,T71/T$12)</f>
        <v>0</v>
      </c>
      <c r="W71" s="16"/>
      <c r="X71" s="21">
        <f>+P71-T71</f>
        <v>23644.726615384454</v>
      </c>
      <c r="Y71" s="16"/>
      <c r="Z71" s="20">
        <f>IF(T71=0,0,X71/T71)</f>
        <v>-4.4412148535066809E-2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126</v>
      </c>
      <c r="C75" s="28"/>
      <c r="D75" s="31">
        <f>+D71-D73</f>
        <v>-52587.89</v>
      </c>
      <c r="E75" s="14"/>
      <c r="F75" s="33">
        <f>IF(D$12=0,0,D75/D$12)</f>
        <v>0</v>
      </c>
      <c r="G75" s="14"/>
      <c r="H75" s="31">
        <f>+H71-H73</f>
        <v>-57810.278538461578</v>
      </c>
      <c r="I75" s="14"/>
      <c r="J75" s="33">
        <f>IF(H$12=0,0,H75/H$12)</f>
        <v>0</v>
      </c>
      <c r="K75" s="16"/>
      <c r="L75" s="31">
        <f>D75-H75</f>
        <v>5222.3885384615787</v>
      </c>
      <c r="M75" s="16"/>
      <c r="N75" s="33">
        <f>IF(H75=0,0,L75/H75)</f>
        <v>-9.0336678363988288E-2</v>
      </c>
      <c r="O75" s="29"/>
      <c r="P75" s="31">
        <f>+P71-P73</f>
        <v>-508748.49</v>
      </c>
      <c r="Q75" s="14"/>
      <c r="R75" s="33">
        <f>IF(P$12=0,0,P75/P$12)</f>
        <v>0</v>
      </c>
      <c r="S75" s="14"/>
      <c r="T75" s="31">
        <f>+T71-T73</f>
        <v>-532393.21661538444</v>
      </c>
      <c r="U75" s="14"/>
      <c r="V75" s="33">
        <f>IF(T$12=0,0,T75/T$12)</f>
        <v>0</v>
      </c>
      <c r="W75" s="16"/>
      <c r="X75" s="31">
        <f>P75-T75</f>
        <v>23644.726615384454</v>
      </c>
      <c r="Y75" s="16"/>
      <c r="Z75" s="33">
        <f>IF(T75=0,0,X75/T75)</f>
        <v>-4.4412148535066809E-2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294</v>
      </c>
      <c r="C78" s="28"/>
      <c r="D78" s="34">
        <f>SUM(D75:D77)</f>
        <v>-52587.89</v>
      </c>
      <c r="E78" s="14"/>
      <c r="F78" s="35">
        <f>IF(D$12=0,0,D78/D$12)</f>
        <v>0</v>
      </c>
      <c r="G78" s="14"/>
      <c r="H78" s="34">
        <f>SUM(H75:H77)</f>
        <v>-57810.278538461578</v>
      </c>
      <c r="I78" s="14"/>
      <c r="J78" s="35">
        <f>IF(H$12=0,0,H78/H$12)</f>
        <v>0</v>
      </c>
      <c r="K78" s="16"/>
      <c r="L78" s="34">
        <f>+D78-H78</f>
        <v>5222.3885384615787</v>
      </c>
      <c r="M78" s="16"/>
      <c r="N78" s="35">
        <f>IF(H78=0,0,L78/H78)</f>
        <v>-9.0336678363988288E-2</v>
      </c>
      <c r="O78" s="29"/>
      <c r="P78" s="34">
        <f>SUM(P75:P77)</f>
        <v>-508748.49</v>
      </c>
      <c r="Q78" s="14"/>
      <c r="R78" s="35">
        <f>IF(P$12=0,0,P78/P$12)</f>
        <v>0</v>
      </c>
      <c r="S78" s="14"/>
      <c r="T78" s="34">
        <f>SUM(T75:T77)</f>
        <v>-532393.21661538444</v>
      </c>
      <c r="U78" s="14"/>
      <c r="V78" s="35">
        <f>IF(T$12=0,0,T78/T$12)</f>
        <v>0</v>
      </c>
      <c r="W78" s="16"/>
      <c r="X78" s="34">
        <f>+P78-T78</f>
        <v>23644.726615384454</v>
      </c>
      <c r="Y78" s="16"/>
      <c r="Z78" s="35">
        <f>IF(T78=0,0,X78/T78)</f>
        <v>-4.4412148535066809E-2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>
        <v>44330.0058283912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5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8195.52</v>
      </c>
      <c r="E18" s="22"/>
      <c r="F18" s="32">
        <f t="shared" ref="F18:F28" si="0">IF(D$12=0,0,D18/D$12)</f>
        <v>0</v>
      </c>
      <c r="G18" s="22"/>
      <c r="H18" s="22">
        <f>SUM(OSRRefH22x_0)</f>
        <v>13531.065192307691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-5335.5451923076907</v>
      </c>
      <c r="M18" s="4"/>
      <c r="N18" s="32">
        <f t="shared" ref="N18:N28" si="3">IF(H18=0,0,L18/H18)</f>
        <v>-0.39431819420550185</v>
      </c>
      <c r="O18" s="10"/>
      <c r="P18" s="22">
        <f>SUM(OSRRefP22x_0)</f>
        <v>78573.849999999991</v>
      </c>
      <c r="Q18" s="22"/>
      <c r="R18" s="32">
        <f t="shared" ref="R18:R28" si="4">IF(P$12=0,0,P18/P$12)</f>
        <v>0</v>
      </c>
      <c r="S18" s="22"/>
      <c r="T18" s="22">
        <f>SUM(OSRRefT22x_0)</f>
        <v>86665.773692307688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-8091.9236923076969</v>
      </c>
      <c r="Y18" s="4"/>
      <c r="Z18" s="32">
        <f t="shared" ref="Z18:Z28" si="7">IF(T18=0,0,X18/T18)</f>
        <v>-9.3369312331263735E-2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2995.0099999999998</v>
      </c>
      <c r="E19" s="1"/>
      <c r="F19" s="5">
        <f t="shared" si="0"/>
        <v>0</v>
      </c>
      <c r="G19" s="1"/>
      <c r="H19" s="1">
        <f>SUM(OSRRefH22_0x_0)</f>
        <v>2281.5651923076921</v>
      </c>
      <c r="I19" s="1"/>
      <c r="J19" s="5">
        <f t="shared" si="1"/>
        <v>0</v>
      </c>
      <c r="K19" s="1"/>
      <c r="L19" s="1">
        <f t="shared" si="2"/>
        <v>713.44480769230768</v>
      </c>
      <c r="M19" s="1"/>
      <c r="N19" s="5">
        <f t="shared" si="3"/>
        <v>0.31269972477564534</v>
      </c>
      <c r="O19" s="13"/>
      <c r="P19" s="1">
        <f>SUM(OSRRefP22_0x_0)</f>
        <v>25451.64</v>
      </c>
      <c r="Q19" s="1"/>
      <c r="R19" s="5">
        <f t="shared" si="4"/>
        <v>0</v>
      </c>
      <c r="S19" s="1"/>
      <c r="T19" s="1">
        <f>SUM(OSRRefT22_0x_0)</f>
        <v>20077.773692307688</v>
      </c>
      <c r="U19" s="1"/>
      <c r="V19" s="5">
        <f t="shared" si="5"/>
        <v>0</v>
      </c>
      <c r="W19" s="1"/>
      <c r="X19" s="1">
        <f t="shared" si="6"/>
        <v>5373.8663076923112</v>
      </c>
      <c r="Y19" s="1"/>
      <c r="Z19" s="5">
        <f t="shared" si="7"/>
        <v>0.26765249922859613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486.32</v>
      </c>
      <c r="E20" s="2"/>
      <c r="F20" s="6">
        <f t="shared" si="0"/>
        <v>0</v>
      </c>
      <c r="G20" s="2"/>
      <c r="H20" s="7">
        <v>401.78250000000003</v>
      </c>
      <c r="I20" s="2"/>
      <c r="J20" s="6">
        <f t="shared" si="1"/>
        <v>0</v>
      </c>
      <c r="K20" s="2"/>
      <c r="L20" s="7">
        <f t="shared" si="2"/>
        <v>84.537499999999966</v>
      </c>
      <c r="M20" s="2"/>
      <c r="N20" s="6">
        <f t="shared" si="3"/>
        <v>0.21040612769346589</v>
      </c>
      <c r="O20" s="11"/>
      <c r="P20" s="7">
        <v>3514.19</v>
      </c>
      <c r="Q20" s="2"/>
      <c r="R20" s="6">
        <f t="shared" si="4"/>
        <v>0</v>
      </c>
      <c r="S20" s="2"/>
      <c r="T20" s="7">
        <v>3535.6860000000001</v>
      </c>
      <c r="U20" s="2"/>
      <c r="V20" s="6">
        <f t="shared" si="5"/>
        <v>0</v>
      </c>
      <c r="W20" s="2"/>
      <c r="X20" s="7">
        <f t="shared" si="6"/>
        <v>-21.496000000000095</v>
      </c>
      <c r="Y20" s="2"/>
      <c r="Z20" s="6">
        <f t="shared" si="7"/>
        <v>-6.0797254054800378E-3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291.97000000000003</v>
      </c>
      <c r="E21" s="2"/>
      <c r="F21" s="6">
        <f t="shared" si="0"/>
        <v>0</v>
      </c>
      <c r="G21" s="2"/>
      <c r="H21" s="7">
        <v>363.82499999999999</v>
      </c>
      <c r="I21" s="2"/>
      <c r="J21" s="6">
        <f t="shared" si="1"/>
        <v>0</v>
      </c>
      <c r="K21" s="2"/>
      <c r="L21" s="7">
        <f t="shared" si="2"/>
        <v>-71.854999999999961</v>
      </c>
      <c r="M21" s="2"/>
      <c r="N21" s="6">
        <f t="shared" si="3"/>
        <v>-0.1974987974987974</v>
      </c>
      <c r="O21" s="11"/>
      <c r="P21" s="7">
        <v>3033.55</v>
      </c>
      <c r="Q21" s="2"/>
      <c r="R21" s="6">
        <f t="shared" si="4"/>
        <v>0</v>
      </c>
      <c r="S21" s="2"/>
      <c r="T21" s="7">
        <v>3201.66</v>
      </c>
      <c r="U21" s="2"/>
      <c r="V21" s="6">
        <f t="shared" si="5"/>
        <v>0</v>
      </c>
      <c r="W21" s="2"/>
      <c r="X21" s="7">
        <f t="shared" si="6"/>
        <v>-168.10999999999967</v>
      </c>
      <c r="Y21" s="2"/>
      <c r="Z21" s="6">
        <f t="shared" si="7"/>
        <v>-5.2507136922721236E-2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699.91</v>
      </c>
      <c r="E22" s="2"/>
      <c r="F22" s="6">
        <f t="shared" si="0"/>
        <v>0</v>
      </c>
      <c r="G22" s="2"/>
      <c r="H22" s="7">
        <v>767.30769230769204</v>
      </c>
      <c r="I22" s="2"/>
      <c r="J22" s="6">
        <f t="shared" si="1"/>
        <v>0</v>
      </c>
      <c r="K22" s="2"/>
      <c r="L22" s="7">
        <f t="shared" si="2"/>
        <v>-67.397692307692068</v>
      </c>
      <c r="M22" s="2"/>
      <c r="N22" s="6">
        <f t="shared" si="3"/>
        <v>-8.7836591478696463E-2</v>
      </c>
      <c r="O22" s="11"/>
      <c r="P22" s="7">
        <v>6976.6</v>
      </c>
      <c r="Q22" s="2"/>
      <c r="R22" s="6">
        <f t="shared" si="4"/>
        <v>0</v>
      </c>
      <c r="S22" s="2"/>
      <c r="T22" s="7">
        <v>6752.3076923076896</v>
      </c>
      <c r="U22" s="2"/>
      <c r="V22" s="6">
        <f t="shared" si="5"/>
        <v>0</v>
      </c>
      <c r="W22" s="2"/>
      <c r="X22" s="7">
        <f t="shared" si="6"/>
        <v>224.29230769231071</v>
      </c>
      <c r="Y22" s="2"/>
      <c r="Z22" s="6">
        <f t="shared" si="7"/>
        <v>3.3217133743449992E-2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10.96</v>
      </c>
      <c r="E23" s="2"/>
      <c r="F23" s="6">
        <f t="shared" si="0"/>
        <v>0</v>
      </c>
      <c r="G23" s="2"/>
      <c r="H23" s="7">
        <v>13.65</v>
      </c>
      <c r="I23" s="2"/>
      <c r="J23" s="6">
        <f t="shared" si="1"/>
        <v>0</v>
      </c>
      <c r="K23" s="2"/>
      <c r="L23" s="7">
        <f t="shared" si="2"/>
        <v>-2.6899999999999995</v>
      </c>
      <c r="M23" s="2"/>
      <c r="N23" s="6">
        <f t="shared" si="3"/>
        <v>-0.19706959706959704</v>
      </c>
      <c r="O23" s="11"/>
      <c r="P23" s="7">
        <v>113.83</v>
      </c>
      <c r="Q23" s="2"/>
      <c r="R23" s="6">
        <f t="shared" si="4"/>
        <v>0</v>
      </c>
      <c r="S23" s="2"/>
      <c r="T23" s="7">
        <v>120.12</v>
      </c>
      <c r="U23" s="2"/>
      <c r="V23" s="6">
        <f t="shared" si="5"/>
        <v>0</v>
      </c>
      <c r="W23" s="2"/>
      <c r="X23" s="7">
        <f t="shared" si="6"/>
        <v>-6.2900000000000063</v>
      </c>
      <c r="Y23" s="2"/>
      <c r="Z23" s="6">
        <f t="shared" si="7"/>
        <v>-5.2364302364302416E-2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463.27</v>
      </c>
      <c r="M24" s="2"/>
      <c r="N24" s="6">
        <f t="shared" si="3"/>
        <v>0</v>
      </c>
      <c r="O24" s="11"/>
      <c r="P24" s="7">
        <v>5095.9799999999996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5095.9799999999996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581.94000000000005</v>
      </c>
      <c r="E26" s="2"/>
      <c r="F26" s="6">
        <f t="shared" si="0"/>
        <v>0</v>
      </c>
      <c r="G26" s="2"/>
      <c r="H26" s="7">
        <v>525</v>
      </c>
      <c r="I26" s="2"/>
      <c r="J26" s="6">
        <f t="shared" si="1"/>
        <v>0</v>
      </c>
      <c r="K26" s="2"/>
      <c r="L26" s="7">
        <f t="shared" si="2"/>
        <v>56.940000000000055</v>
      </c>
      <c r="M26" s="2"/>
      <c r="N26" s="6">
        <f t="shared" si="3"/>
        <v>0.10845714285714296</v>
      </c>
      <c r="O26" s="11"/>
      <c r="P26" s="7">
        <v>3167.72</v>
      </c>
      <c r="Q26" s="2"/>
      <c r="R26" s="6">
        <f t="shared" si="4"/>
        <v>0</v>
      </c>
      <c r="S26" s="2"/>
      <c r="T26" s="7">
        <v>4620</v>
      </c>
      <c r="U26" s="2"/>
      <c r="V26" s="6">
        <f t="shared" si="5"/>
        <v>0</v>
      </c>
      <c r="W26" s="2"/>
      <c r="X26" s="7">
        <f t="shared" si="6"/>
        <v>-1452.2800000000002</v>
      </c>
      <c r="Y26" s="2"/>
      <c r="Z26" s="6">
        <f t="shared" si="7"/>
        <v>-0.31434632034632037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290.58</v>
      </c>
      <c r="E27" s="2"/>
      <c r="F27" s="6">
        <f t="shared" si="0"/>
        <v>0</v>
      </c>
      <c r="G27" s="2"/>
      <c r="H27" s="7">
        <v>210</v>
      </c>
      <c r="I27" s="2"/>
      <c r="J27" s="6">
        <f t="shared" si="1"/>
        <v>0</v>
      </c>
      <c r="K27" s="2"/>
      <c r="L27" s="7">
        <f t="shared" si="2"/>
        <v>80.579999999999984</v>
      </c>
      <c r="M27" s="2"/>
      <c r="N27" s="6">
        <f t="shared" si="3"/>
        <v>0.38371428571428562</v>
      </c>
      <c r="O27" s="11"/>
      <c r="P27" s="7">
        <v>2130.92</v>
      </c>
      <c r="Q27" s="2"/>
      <c r="R27" s="6">
        <f t="shared" si="4"/>
        <v>0</v>
      </c>
      <c r="S27" s="2"/>
      <c r="T27" s="7">
        <v>1848</v>
      </c>
      <c r="U27" s="2"/>
      <c r="V27" s="6">
        <f t="shared" si="5"/>
        <v>0</v>
      </c>
      <c r="W27" s="2"/>
      <c r="X27" s="7">
        <f t="shared" si="6"/>
        <v>282.92000000000007</v>
      </c>
      <c r="Y27" s="2"/>
      <c r="Z27" s="6">
        <f t="shared" si="7"/>
        <v>0.15309523809523815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170.06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170.06</v>
      </c>
      <c r="M28" s="2"/>
      <c r="N28" s="6">
        <f t="shared" si="3"/>
        <v>0</v>
      </c>
      <c r="O28" s="11"/>
      <c r="P28" s="7">
        <v>1418.85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1418.85</v>
      </c>
      <c r="Y28" s="2"/>
      <c r="Z28" s="6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4409.66</v>
      </c>
      <c r="E29" s="1"/>
      <c r="F29" s="5">
        <f t="shared" ref="F29:F39" si="8">IF(D$12=0,0,D29/D$12)</f>
        <v>0</v>
      </c>
      <c r="G29" s="1"/>
      <c r="H29" s="1">
        <f>SUM(OSRRefH22_1x_0)</f>
        <v>4672.5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-262.84000000000015</v>
      </c>
      <c r="M29" s="1"/>
      <c r="N29" s="5">
        <f t="shared" ref="N29:N39" si="11">IF(H29=0,0,L29/H29)</f>
        <v>-5.6252541466024646E-2</v>
      </c>
      <c r="O29" s="13"/>
      <c r="P29" s="1">
        <f>SUM(OSRRefP22_1x_0)</f>
        <v>42452.05</v>
      </c>
      <c r="Q29" s="1"/>
      <c r="R29" s="5">
        <f t="shared" ref="R29:R39" si="12">IF(P$12=0,0,P29/P$12)</f>
        <v>0</v>
      </c>
      <c r="S29" s="1"/>
      <c r="T29" s="1">
        <f>SUM(OSRRefT22_1x_0)</f>
        <v>41118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1334.0500000000029</v>
      </c>
      <c r="Y29" s="1"/>
      <c r="Z29" s="5">
        <f t="shared" ref="Z29:Z39" si="15">IF(T29=0,0,X29/T29)</f>
        <v>3.2444428230945156E-2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4409.66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4409.66</v>
      </c>
      <c r="M31" s="2"/>
      <c r="N31" s="6">
        <f t="shared" si="11"/>
        <v>0</v>
      </c>
      <c r="O31" s="11"/>
      <c r="P31" s="7">
        <v>42452.05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42452.05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4672.5</v>
      </c>
      <c r="I33" s="2"/>
      <c r="J33" s="6">
        <f t="shared" si="9"/>
        <v>0</v>
      </c>
      <c r="K33" s="2"/>
      <c r="L33" s="7">
        <f t="shared" si="10"/>
        <v>-4672.5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41118</v>
      </c>
      <c r="U33" s="2"/>
      <c r="V33" s="6">
        <f t="shared" si="13"/>
        <v>0</v>
      </c>
      <c r="W33" s="2"/>
      <c r="X33" s="7">
        <f t="shared" si="14"/>
        <v>-41118</v>
      </c>
      <c r="Y33" s="2"/>
      <c r="Z33" s="6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-238.8</v>
      </c>
      <c r="Q40" s="1"/>
      <c r="R40" s="5">
        <f t="shared" ref="R40:R47" si="20">IF(P$12=0,0,P40/P$12)</f>
        <v>0</v>
      </c>
      <c r="S40" s="1"/>
      <c r="T40" s="1">
        <f>SUM(OSRRefT22_2x_0)</f>
        <v>-750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511.2</v>
      </c>
      <c r="Y40" s="1"/>
      <c r="Z40" s="5">
        <f t="shared" ref="Z40:Z47" si="23">IF(T40=0,0,X40/T40)</f>
        <v>-0.68159999999999998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-238.8</v>
      </c>
      <c r="Q41" s="2"/>
      <c r="R41" s="6">
        <f t="shared" si="20"/>
        <v>0</v>
      </c>
      <c r="S41" s="2"/>
      <c r="T41" s="7">
        <v>-750</v>
      </c>
      <c r="U41" s="2"/>
      <c r="V41" s="6">
        <f t="shared" si="21"/>
        <v>0</v>
      </c>
      <c r="W41" s="2"/>
      <c r="X41" s="7">
        <f t="shared" si="22"/>
        <v>511.2</v>
      </c>
      <c r="Y41" s="2"/>
      <c r="Z41" s="6">
        <f t="shared" si="23"/>
        <v>-0.68159999999999998</v>
      </c>
    </row>
    <row r="42" spans="1:26" s="25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3"/>
      <c r="P42" s="1">
        <f>SUM(OSRRefP22_3x_0)</f>
        <v>245.6</v>
      </c>
      <c r="Q42" s="1"/>
      <c r="R42" s="5">
        <f t="shared" si="20"/>
        <v>0</v>
      </c>
      <c r="S42" s="1"/>
      <c r="T42" s="1">
        <f>SUM(OSRRefT22_3x_0)</f>
        <v>270</v>
      </c>
      <c r="U42" s="1"/>
      <c r="V42" s="5">
        <f t="shared" si="21"/>
        <v>0</v>
      </c>
      <c r="W42" s="1"/>
      <c r="X42" s="1">
        <f t="shared" si="22"/>
        <v>-24.400000000000006</v>
      </c>
      <c r="Y42" s="1"/>
      <c r="Z42" s="5">
        <f t="shared" si="23"/>
        <v>-9.0370370370370393E-2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245.6</v>
      </c>
      <c r="Q43" s="2"/>
      <c r="R43" s="6">
        <f t="shared" si="20"/>
        <v>0</v>
      </c>
      <c r="S43" s="2"/>
      <c r="T43" s="7">
        <v>270</v>
      </c>
      <c r="U43" s="2"/>
      <c r="V43" s="6">
        <f t="shared" si="21"/>
        <v>0</v>
      </c>
      <c r="W43" s="2"/>
      <c r="X43" s="7">
        <f t="shared" si="22"/>
        <v>-24.400000000000006</v>
      </c>
      <c r="Y43" s="2"/>
      <c r="Z43" s="6">
        <f t="shared" si="23"/>
        <v>-9.0370370370370393E-2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SUM(OSRRefD22_4x_0)</f>
        <v>891.98</v>
      </c>
      <c r="E44" s="1"/>
      <c r="F44" s="5">
        <f t="shared" si="16"/>
        <v>0</v>
      </c>
      <c r="G44" s="1"/>
      <c r="H44" s="1">
        <f>SUM(OSRRefH22_4x_0)</f>
        <v>6500</v>
      </c>
      <c r="I44" s="1"/>
      <c r="J44" s="5">
        <f t="shared" si="17"/>
        <v>0</v>
      </c>
      <c r="K44" s="1"/>
      <c r="L44" s="1">
        <f t="shared" si="18"/>
        <v>-5608.02</v>
      </c>
      <c r="M44" s="1"/>
      <c r="N44" s="5">
        <f t="shared" si="19"/>
        <v>-0.86277230769230773</v>
      </c>
      <c r="O44" s="13"/>
      <c r="P44" s="1">
        <f>SUM(OSRRefP22_4x_0)</f>
        <v>10068.209999999999</v>
      </c>
      <c r="Q44" s="1"/>
      <c r="R44" s="5">
        <f t="shared" si="20"/>
        <v>0</v>
      </c>
      <c r="S44" s="1"/>
      <c r="T44" s="1">
        <f>SUM(OSRRefT22_4x_0)</f>
        <v>20000</v>
      </c>
      <c r="U44" s="1"/>
      <c r="V44" s="5">
        <f t="shared" si="21"/>
        <v>0</v>
      </c>
      <c r="W44" s="1"/>
      <c r="X44" s="1">
        <f t="shared" si="22"/>
        <v>-9931.7900000000009</v>
      </c>
      <c r="Y44" s="1"/>
      <c r="Z44" s="5">
        <f t="shared" si="23"/>
        <v>-0.49658950000000002</v>
      </c>
    </row>
    <row r="45" spans="1:26" s="24" customFormat="1" hidden="1" outlineLevel="2" x14ac:dyDescent="0.25">
      <c r="A45" s="26"/>
      <c r="B45" s="11" t="str">
        <f>CONCATENATE("          ", "6371", " - ", "COMPUTER SOFTWARE MAINTENANCE")</f>
        <v xml:space="preserve">          6371 - COMPUTER SOFTWARE MAINTENANCE</v>
      </c>
      <c r="C45" s="11"/>
      <c r="D45" s="7"/>
      <c r="E45" s="2"/>
      <c r="F45" s="6">
        <f t="shared" si="16"/>
        <v>0</v>
      </c>
      <c r="G45" s="2"/>
      <c r="H45" s="7">
        <v>5000</v>
      </c>
      <c r="I45" s="2"/>
      <c r="J45" s="6">
        <f t="shared" si="17"/>
        <v>0</v>
      </c>
      <c r="K45" s="2"/>
      <c r="L45" s="7">
        <f t="shared" si="18"/>
        <v>-5000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5000</v>
      </c>
      <c r="U45" s="2"/>
      <c r="V45" s="6">
        <f t="shared" si="21"/>
        <v>0</v>
      </c>
      <c r="W45" s="2"/>
      <c r="X45" s="7">
        <f t="shared" si="22"/>
        <v>-5000</v>
      </c>
      <c r="Y45" s="2"/>
      <c r="Z45" s="6">
        <f t="shared" si="23"/>
        <v>-1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7">
        <v>891.98</v>
      </c>
      <c r="E46" s="2"/>
      <c r="F46" s="6">
        <f t="shared" si="16"/>
        <v>0</v>
      </c>
      <c r="G46" s="2"/>
      <c r="H46" s="7">
        <v>1500</v>
      </c>
      <c r="I46" s="2"/>
      <c r="J46" s="6">
        <f t="shared" si="17"/>
        <v>0</v>
      </c>
      <c r="K46" s="2"/>
      <c r="L46" s="7">
        <f t="shared" si="18"/>
        <v>-608.02</v>
      </c>
      <c r="M46" s="2"/>
      <c r="N46" s="6">
        <f t="shared" si="19"/>
        <v>-0.40534666666666663</v>
      </c>
      <c r="O46" s="11"/>
      <c r="P46" s="7">
        <v>7897.92</v>
      </c>
      <c r="Q46" s="2"/>
      <c r="R46" s="6">
        <f t="shared" si="20"/>
        <v>0</v>
      </c>
      <c r="S46" s="2"/>
      <c r="T46" s="7">
        <v>15000</v>
      </c>
      <c r="U46" s="2"/>
      <c r="V46" s="6">
        <f t="shared" si="21"/>
        <v>0</v>
      </c>
      <c r="W46" s="2"/>
      <c r="X46" s="7">
        <f t="shared" si="22"/>
        <v>-7102.08</v>
      </c>
      <c r="Y46" s="2"/>
      <c r="Z46" s="6">
        <f t="shared" si="23"/>
        <v>-0.473472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2170.29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2170.29</v>
      </c>
      <c r="Y47" s="2"/>
      <c r="Z47" s="6">
        <f t="shared" si="23"/>
        <v>0</v>
      </c>
    </row>
    <row r="48" spans="1:26" s="25" customFormat="1" outlineLevel="1" collapsed="1" x14ac:dyDescent="0.25">
      <c r="A48" s="27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SUM(OSRRefD22_5x_0)</f>
        <v>0</v>
      </c>
      <c r="E48" s="1"/>
      <c r="F48" s="5">
        <f t="shared" ref="F48:F53" si="24">IF(D$12=0,0,D48/D$12)</f>
        <v>0</v>
      </c>
      <c r="G48" s="1"/>
      <c r="H48" s="1">
        <f>SUM(OSRRefH22_5x_0)</f>
        <v>25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-25</v>
      </c>
      <c r="M48" s="1"/>
      <c r="N48" s="5">
        <f t="shared" ref="N48:N53" si="27">IF(H48=0,0,L48/H48)</f>
        <v>-1</v>
      </c>
      <c r="O48" s="13"/>
      <c r="P48" s="1">
        <f>SUM(OSRRefP22_5x_0)</f>
        <v>0</v>
      </c>
      <c r="Q48" s="1"/>
      <c r="R48" s="5">
        <f t="shared" ref="R48:R53" si="28">IF(P$12=0,0,P48/P$12)</f>
        <v>0</v>
      </c>
      <c r="S48" s="1"/>
      <c r="T48" s="1">
        <f>SUM(OSRRefT22_5x_0)</f>
        <v>250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-250</v>
      </c>
      <c r="Y48" s="1"/>
      <c r="Z48" s="5">
        <f t="shared" ref="Z48:Z53" si="31">IF(T48=0,0,X48/T48)</f>
        <v>-1</v>
      </c>
    </row>
    <row r="49" spans="1:26" s="24" customFormat="1" hidden="1" outlineLevel="2" x14ac:dyDescent="0.25">
      <c r="A49" s="26"/>
      <c r="B49" s="11" t="str">
        <f>CONCATENATE("          ", "6286", " - ", "LAUNDRY EXPENSE")</f>
        <v xml:space="preserve">          6286 - LAUNDRY EXPENSE</v>
      </c>
      <c r="C49" s="11"/>
      <c r="D49" s="7"/>
      <c r="E49" s="2"/>
      <c r="F49" s="6">
        <f t="shared" si="24"/>
        <v>0</v>
      </c>
      <c r="G49" s="2"/>
      <c r="H49" s="7">
        <v>25</v>
      </c>
      <c r="I49" s="2"/>
      <c r="J49" s="6">
        <f t="shared" si="25"/>
        <v>0</v>
      </c>
      <c r="K49" s="2"/>
      <c r="L49" s="7">
        <f t="shared" si="26"/>
        <v>-25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250</v>
      </c>
      <c r="U49" s="2"/>
      <c r="V49" s="6">
        <f t="shared" si="29"/>
        <v>0</v>
      </c>
      <c r="W49" s="2"/>
      <c r="X49" s="7">
        <f t="shared" si="30"/>
        <v>-250</v>
      </c>
      <c r="Y49" s="2"/>
      <c r="Z49" s="6">
        <f t="shared" si="31"/>
        <v>-1</v>
      </c>
    </row>
    <row r="50" spans="1:26" s="25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SUM(OSRRefD22_6x_0)</f>
        <v>1.31</v>
      </c>
      <c r="E50" s="1"/>
      <c r="F50" s="5">
        <f t="shared" si="24"/>
        <v>0</v>
      </c>
      <c r="G50" s="1"/>
      <c r="H50" s="1">
        <f>SUM(OSRRefH22_6x_0)</f>
        <v>0</v>
      </c>
      <c r="I50" s="1"/>
      <c r="J50" s="5">
        <f t="shared" si="25"/>
        <v>0</v>
      </c>
      <c r="K50" s="1"/>
      <c r="L50" s="1">
        <f t="shared" si="26"/>
        <v>1.31</v>
      </c>
      <c r="M50" s="1"/>
      <c r="N50" s="5">
        <f t="shared" si="27"/>
        <v>0</v>
      </c>
      <c r="O50" s="13"/>
      <c r="P50" s="1">
        <f>SUM(OSRRefP22_6x_0)</f>
        <v>86.15</v>
      </c>
      <c r="Q50" s="1"/>
      <c r="R50" s="5">
        <f t="shared" si="28"/>
        <v>0</v>
      </c>
      <c r="S50" s="1"/>
      <c r="T50" s="1">
        <f>SUM(OSRRefT22_6x_0)</f>
        <v>5000</v>
      </c>
      <c r="U50" s="1"/>
      <c r="V50" s="5">
        <f t="shared" si="29"/>
        <v>0</v>
      </c>
      <c r="W50" s="1"/>
      <c r="X50" s="1">
        <f t="shared" si="30"/>
        <v>-4913.8500000000004</v>
      </c>
      <c r="Y50" s="1"/>
      <c r="Z50" s="5">
        <f t="shared" si="31"/>
        <v>-0.98277000000000003</v>
      </c>
    </row>
    <row r="51" spans="1:26" s="24" customFormat="1" hidden="1" outlineLevel="2" x14ac:dyDescent="0.25">
      <c r="A51" s="26"/>
      <c r="B51" s="11" t="str">
        <f>CONCATENATE("          ", "6235", " - ", "COVID-19 EXPENSES")</f>
        <v xml:space="preserve">          6235 - COVID-19 EXPENSES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66.12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66.12</v>
      </c>
      <c r="Y51" s="2"/>
      <c r="Z51" s="6">
        <f t="shared" si="31"/>
        <v>0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7">
        <v>1.31</v>
      </c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1.31</v>
      </c>
      <c r="M52" s="2"/>
      <c r="N52" s="6">
        <f t="shared" si="27"/>
        <v>0</v>
      </c>
      <c r="O52" s="11"/>
      <c r="P52" s="7">
        <v>20.03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20.03</v>
      </c>
      <c r="Y52" s="2"/>
      <c r="Z52" s="6">
        <f t="shared" si="31"/>
        <v>0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5000</v>
      </c>
      <c r="U53" s="2"/>
      <c r="V53" s="6">
        <f t="shared" si="29"/>
        <v>0</v>
      </c>
      <c r="W53" s="2"/>
      <c r="X53" s="7">
        <f t="shared" si="30"/>
        <v>-5000</v>
      </c>
      <c r="Y53" s="2"/>
      <c r="Z53" s="6">
        <f t="shared" si="31"/>
        <v>-1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SUM(OSRRefD22_7x_0)</f>
        <v>-127</v>
      </c>
      <c r="E54" s="1"/>
      <c r="F54" s="5">
        <f t="shared" ref="F54:F55" si="32">IF(D$12=0,0,D54/D$12)</f>
        <v>0</v>
      </c>
      <c r="G54" s="1"/>
      <c r="H54" s="1">
        <f>SUM(OSRRefH22_7x_0)</f>
        <v>25</v>
      </c>
      <c r="I54" s="1"/>
      <c r="J54" s="5">
        <f t="shared" ref="J54:J55" si="33">IF(H$12=0,0,H54/H$12)</f>
        <v>0</v>
      </c>
      <c r="K54" s="1"/>
      <c r="L54" s="1">
        <f t="shared" ref="L54:L55" si="34">+D54-H54</f>
        <v>-152</v>
      </c>
      <c r="M54" s="1"/>
      <c r="N54" s="5">
        <f t="shared" ref="N54:N55" si="35">IF(H54=0,0,L54/H54)</f>
        <v>-6.08</v>
      </c>
      <c r="O54" s="13"/>
      <c r="P54" s="1">
        <f>SUM(OSRRefP22_7x_0)</f>
        <v>509</v>
      </c>
      <c r="Q54" s="1"/>
      <c r="R54" s="5">
        <f t="shared" ref="R54:R55" si="36">IF(P$12=0,0,P54/P$12)</f>
        <v>0</v>
      </c>
      <c r="S54" s="1"/>
      <c r="T54" s="1">
        <f>SUM(OSRRefT22_7x_0)</f>
        <v>700</v>
      </c>
      <c r="U54" s="1"/>
      <c r="V54" s="5">
        <f t="shared" ref="V54:V55" si="37">IF(T$12=0,0,T54/T$12)</f>
        <v>0</v>
      </c>
      <c r="W54" s="1"/>
      <c r="X54" s="1">
        <f t="shared" ref="X54:X55" si="38">+P54-T54</f>
        <v>-191</v>
      </c>
      <c r="Y54" s="1"/>
      <c r="Z54" s="5">
        <f t="shared" ref="Z54:Z55" si="39">IF(T54=0,0,X54/T54)</f>
        <v>-0.27285714285714285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7">
        <v>-127</v>
      </c>
      <c r="E55" s="2"/>
      <c r="F55" s="6">
        <f t="shared" si="32"/>
        <v>0</v>
      </c>
      <c r="G55" s="2"/>
      <c r="H55" s="7">
        <v>25</v>
      </c>
      <c r="I55" s="2"/>
      <c r="J55" s="6">
        <f t="shared" si="33"/>
        <v>0</v>
      </c>
      <c r="K55" s="2"/>
      <c r="L55" s="7">
        <f t="shared" si="34"/>
        <v>-152</v>
      </c>
      <c r="M55" s="2"/>
      <c r="N55" s="6">
        <f t="shared" si="35"/>
        <v>-6.08</v>
      </c>
      <c r="O55" s="11"/>
      <c r="P55" s="7">
        <v>509</v>
      </c>
      <c r="Q55" s="2"/>
      <c r="R55" s="6">
        <f t="shared" si="36"/>
        <v>0</v>
      </c>
      <c r="S55" s="2"/>
      <c r="T55" s="7">
        <v>700</v>
      </c>
      <c r="U55" s="2"/>
      <c r="V55" s="6">
        <f t="shared" si="37"/>
        <v>0</v>
      </c>
      <c r="W55" s="2"/>
      <c r="X55" s="7">
        <f t="shared" si="38"/>
        <v>-191</v>
      </c>
      <c r="Y55" s="2"/>
      <c r="Z55" s="6">
        <f t="shared" si="39"/>
        <v>-0.27285714285714285</v>
      </c>
    </row>
    <row r="56" spans="1:26" s="61" customFormat="1" x14ac:dyDescent="0.25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277</v>
      </c>
      <c r="C59" s="28"/>
      <c r="D59" s="21">
        <f>+D16-D18+D57</f>
        <v>-8195.52</v>
      </c>
      <c r="E59" s="14"/>
      <c r="F59" s="20">
        <f>IF(D$12=0,0,D59/D$12)</f>
        <v>0</v>
      </c>
      <c r="G59" s="14"/>
      <c r="H59" s="21">
        <f>+H16-H18+H57</f>
        <v>-13531.065192307691</v>
      </c>
      <c r="I59" s="14"/>
      <c r="J59" s="20">
        <f>IF(H$12=0,0,H59/H$12)</f>
        <v>0</v>
      </c>
      <c r="K59" s="16"/>
      <c r="L59" s="21">
        <f>+D59-H59</f>
        <v>5335.5451923076907</v>
      </c>
      <c r="M59" s="16"/>
      <c r="N59" s="20">
        <f>IF(H59=0,0,L59/H59)</f>
        <v>-0.39431819420550185</v>
      </c>
      <c r="O59" s="29"/>
      <c r="P59" s="21">
        <f>+P16-P18+P57</f>
        <v>-78573.849999999991</v>
      </c>
      <c r="Q59" s="14"/>
      <c r="R59" s="20">
        <f>IF(P$12=0,0,P59/P$12)</f>
        <v>0</v>
      </c>
      <c r="S59" s="14"/>
      <c r="T59" s="21">
        <f>+T16-T18+T57</f>
        <v>-86665.773692307688</v>
      </c>
      <c r="U59" s="14"/>
      <c r="V59" s="20">
        <f>IF(T$12=0,0,T59/T$12)</f>
        <v>0</v>
      </c>
      <c r="W59" s="16"/>
      <c r="X59" s="21">
        <f>+P59-T59</f>
        <v>8091.9236923076969</v>
      </c>
      <c r="Y59" s="16"/>
      <c r="Z59" s="20">
        <f>IF(T59=0,0,X59/T59)</f>
        <v>-9.3369312331263735E-2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8" t="s">
        <v>126</v>
      </c>
      <c r="C63" s="28"/>
      <c r="D63" s="31">
        <f>+D59-D61</f>
        <v>-8195.52</v>
      </c>
      <c r="E63" s="14"/>
      <c r="F63" s="33">
        <f>IF(D$12=0,0,D63/D$12)</f>
        <v>0</v>
      </c>
      <c r="G63" s="14"/>
      <c r="H63" s="31">
        <f>+H59-H61</f>
        <v>-13531.065192307691</v>
      </c>
      <c r="I63" s="14"/>
      <c r="J63" s="33">
        <f>IF(H$12=0,0,H63/H$12)</f>
        <v>0</v>
      </c>
      <c r="K63" s="16"/>
      <c r="L63" s="31">
        <f>D63-H63</f>
        <v>5335.5451923076907</v>
      </c>
      <c r="M63" s="16"/>
      <c r="N63" s="33">
        <f>IF(H63=0,0,L63/H63)</f>
        <v>-0.39431819420550185</v>
      </c>
      <c r="O63" s="29"/>
      <c r="P63" s="31">
        <f>+P59-P61</f>
        <v>-78573.849999999991</v>
      </c>
      <c r="Q63" s="14"/>
      <c r="R63" s="33">
        <f>IF(P$12=0,0,P63/P$12)</f>
        <v>0</v>
      </c>
      <c r="S63" s="14"/>
      <c r="T63" s="31">
        <f>+T59-T61</f>
        <v>-86665.773692307688</v>
      </c>
      <c r="U63" s="14"/>
      <c r="V63" s="33">
        <f>IF(T$12=0,0,T63/T$12)</f>
        <v>0</v>
      </c>
      <c r="W63" s="16"/>
      <c r="X63" s="31">
        <f>P63-T63</f>
        <v>8091.9236923076969</v>
      </c>
      <c r="Y63" s="16"/>
      <c r="Z63" s="33">
        <f>IF(T63=0,0,X63/T63)</f>
        <v>-9.3369312331263735E-2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294</v>
      </c>
      <c r="C66" s="28"/>
      <c r="D66" s="34">
        <f>SUM(D63:D65)</f>
        <v>-8195.52</v>
      </c>
      <c r="E66" s="14"/>
      <c r="F66" s="35">
        <f>IF(D$12=0,0,D66/D$12)</f>
        <v>0</v>
      </c>
      <c r="G66" s="14"/>
      <c r="H66" s="34">
        <f>SUM(H63:H65)</f>
        <v>-13531.065192307691</v>
      </c>
      <c r="I66" s="14"/>
      <c r="J66" s="35">
        <f>IF(H$12=0,0,H66/H$12)</f>
        <v>0</v>
      </c>
      <c r="K66" s="16"/>
      <c r="L66" s="34">
        <f>+D66-H66</f>
        <v>5335.5451923076907</v>
      </c>
      <c r="M66" s="16"/>
      <c r="N66" s="35">
        <f>IF(H66=0,0,L66/H66)</f>
        <v>-0.39431819420550185</v>
      </c>
      <c r="O66" s="29"/>
      <c r="P66" s="34">
        <f>SUM(P63:P65)</f>
        <v>-78573.849999999991</v>
      </c>
      <c r="Q66" s="14"/>
      <c r="R66" s="35">
        <f>IF(P$12=0,0,P66/P$12)</f>
        <v>0</v>
      </c>
      <c r="S66" s="14"/>
      <c r="T66" s="34">
        <f>SUM(T63:T65)</f>
        <v>-86665.773692307688</v>
      </c>
      <c r="U66" s="14"/>
      <c r="V66" s="35">
        <f>IF(T$12=0,0,T66/T$12)</f>
        <v>0</v>
      </c>
      <c r="W66" s="16"/>
      <c r="X66" s="34">
        <f>+P66-T66</f>
        <v>8091.9236923076969</v>
      </c>
      <c r="Y66" s="16"/>
      <c r="Z66" s="35">
        <f>IF(T66=0,0,X66/T66)</f>
        <v>-9.3369312331263735E-2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62">
        <v>44330.0058283912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6" t="s">
        <v>56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5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","206", " - ", "Communications")</f>
        <v>Department 206 - Communications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8201.7900000000009</v>
      </c>
      <c r="E18" s="22"/>
      <c r="F18" s="32">
        <f t="shared" ref="F18:F28" si="0">IF(D$12=0,0,D18/D$12)</f>
        <v>0</v>
      </c>
      <c r="G18" s="22"/>
      <c r="H18" s="22">
        <f>SUM(OSRRefH22x_0)</f>
        <v>18898.737692307692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-10696.947692307691</v>
      </c>
      <c r="M18" s="4"/>
      <c r="N18" s="32">
        <f t="shared" ref="N18:N28" si="3">IF(H18=0,0,L18/H18)</f>
        <v>-0.56601387174454743</v>
      </c>
      <c r="O18" s="10"/>
      <c r="P18" s="22">
        <f>SUM(OSRRefP22x_0)</f>
        <v>87864.8</v>
      </c>
      <c r="Q18" s="22"/>
      <c r="R18" s="32">
        <f t="shared" ref="R18:R28" si="4">IF(P$12=0,0,P18/P$12)</f>
        <v>0</v>
      </c>
      <c r="S18" s="22"/>
      <c r="T18" s="22">
        <f>SUM(OSRRefT22x_0)</f>
        <v>185722.12269230769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-97857.322692307687</v>
      </c>
      <c r="Y18" s="4"/>
      <c r="Z18" s="32">
        <f t="shared" ref="Z18:Z28" si="7">IF(T18=0,0,X18/T18)</f>
        <v>-0.52690181047753437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2371.4499999999998</v>
      </c>
      <c r="E19" s="1"/>
      <c r="F19" s="5">
        <f t="shared" si="0"/>
        <v>0</v>
      </c>
      <c r="G19" s="1"/>
      <c r="H19" s="1">
        <f>SUM(OSRRefH22_0x_0)</f>
        <v>1970.737692307692</v>
      </c>
      <c r="I19" s="1"/>
      <c r="J19" s="5">
        <f t="shared" si="1"/>
        <v>0</v>
      </c>
      <c r="K19" s="1"/>
      <c r="L19" s="1">
        <f t="shared" si="2"/>
        <v>400.71230769230783</v>
      </c>
      <c r="M19" s="1"/>
      <c r="N19" s="5">
        <f t="shared" si="3"/>
        <v>0.20333112278533741</v>
      </c>
      <c r="O19" s="13"/>
      <c r="P19" s="1">
        <f>SUM(OSRRefP22_0x_0)</f>
        <v>18122.87</v>
      </c>
      <c r="Q19" s="1"/>
      <c r="R19" s="5">
        <f t="shared" si="4"/>
        <v>0</v>
      </c>
      <c r="S19" s="1"/>
      <c r="T19" s="1">
        <f>SUM(OSRRefT22_0x_0)</f>
        <v>17759.12269230769</v>
      </c>
      <c r="U19" s="1"/>
      <c r="V19" s="5">
        <f t="shared" si="5"/>
        <v>0</v>
      </c>
      <c r="W19" s="1"/>
      <c r="X19" s="1">
        <f t="shared" si="6"/>
        <v>363.74730769230882</v>
      </c>
      <c r="Y19" s="1"/>
      <c r="Z19" s="5">
        <f t="shared" si="7"/>
        <v>2.0482279107732326E-2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518.80999999999995</v>
      </c>
      <c r="E20" s="2"/>
      <c r="F20" s="6">
        <f t="shared" si="0"/>
        <v>0</v>
      </c>
      <c r="G20" s="2"/>
      <c r="H20" s="7">
        <v>459.18</v>
      </c>
      <c r="I20" s="2"/>
      <c r="J20" s="6">
        <f t="shared" si="1"/>
        <v>0</v>
      </c>
      <c r="K20" s="2"/>
      <c r="L20" s="7">
        <f t="shared" si="2"/>
        <v>59.629999999999939</v>
      </c>
      <c r="M20" s="2"/>
      <c r="N20" s="6">
        <f t="shared" si="3"/>
        <v>0.12986192778431102</v>
      </c>
      <c r="O20" s="11"/>
      <c r="P20" s="7">
        <v>4096.87</v>
      </c>
      <c r="Q20" s="2"/>
      <c r="R20" s="6">
        <f t="shared" si="4"/>
        <v>0</v>
      </c>
      <c r="S20" s="2"/>
      <c r="T20" s="7">
        <v>4247.415</v>
      </c>
      <c r="U20" s="2"/>
      <c r="V20" s="6">
        <f t="shared" si="5"/>
        <v>0</v>
      </c>
      <c r="W20" s="2"/>
      <c r="X20" s="7">
        <f t="shared" si="6"/>
        <v>-150.54500000000007</v>
      </c>
      <c r="Y20" s="2"/>
      <c r="Z20" s="6">
        <f t="shared" si="7"/>
        <v>-3.5443911178917077E-2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18.100000000000001</v>
      </c>
      <c r="E21" s="2"/>
      <c r="F21" s="6">
        <f t="shared" si="0"/>
        <v>0</v>
      </c>
      <c r="G21" s="2"/>
      <c r="H21" s="7">
        <v>24.75</v>
      </c>
      <c r="I21" s="2"/>
      <c r="J21" s="6">
        <f t="shared" si="1"/>
        <v>0</v>
      </c>
      <c r="K21" s="2"/>
      <c r="L21" s="7">
        <f t="shared" si="2"/>
        <v>-6.6499999999999986</v>
      </c>
      <c r="M21" s="2"/>
      <c r="N21" s="6">
        <f t="shared" si="3"/>
        <v>-0.26868686868686864</v>
      </c>
      <c r="O21" s="11"/>
      <c r="P21" s="7">
        <v>206.99</v>
      </c>
      <c r="Q21" s="2"/>
      <c r="R21" s="6">
        <f t="shared" si="4"/>
        <v>0</v>
      </c>
      <c r="S21" s="2"/>
      <c r="T21" s="7">
        <v>217.8</v>
      </c>
      <c r="U21" s="2"/>
      <c r="V21" s="6">
        <f t="shared" si="5"/>
        <v>0</v>
      </c>
      <c r="W21" s="2"/>
      <c r="X21" s="7">
        <f t="shared" si="6"/>
        <v>-10.810000000000002</v>
      </c>
      <c r="Y21" s="2"/>
      <c r="Z21" s="6">
        <f t="shared" si="7"/>
        <v>-4.963269054178146E-2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704.62</v>
      </c>
      <c r="E22" s="2"/>
      <c r="F22" s="6">
        <f t="shared" si="0"/>
        <v>0</v>
      </c>
      <c r="G22" s="2"/>
      <c r="H22" s="7">
        <v>767.30769230769204</v>
      </c>
      <c r="I22" s="2"/>
      <c r="J22" s="6">
        <f t="shared" si="1"/>
        <v>0</v>
      </c>
      <c r="K22" s="2"/>
      <c r="L22" s="7">
        <f t="shared" si="2"/>
        <v>-62.687692307692032</v>
      </c>
      <c r="M22" s="2"/>
      <c r="N22" s="6">
        <f t="shared" si="3"/>
        <v>-8.1698245614034756E-2</v>
      </c>
      <c r="O22" s="11"/>
      <c r="P22" s="7">
        <v>7023.7</v>
      </c>
      <c r="Q22" s="2"/>
      <c r="R22" s="6">
        <f t="shared" si="4"/>
        <v>0</v>
      </c>
      <c r="S22" s="2"/>
      <c r="T22" s="7">
        <v>6752.3076923076896</v>
      </c>
      <c r="U22" s="2"/>
      <c r="V22" s="6">
        <f t="shared" si="5"/>
        <v>0</v>
      </c>
      <c r="W22" s="2"/>
      <c r="X22" s="7">
        <f t="shared" si="6"/>
        <v>271.39230769231017</v>
      </c>
      <c r="Y22" s="2"/>
      <c r="Z22" s="6">
        <f t="shared" si="7"/>
        <v>4.0192526771474522E-2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14.26</v>
      </c>
      <c r="E23" s="2"/>
      <c r="F23" s="6">
        <f t="shared" si="0"/>
        <v>0</v>
      </c>
      <c r="G23" s="2"/>
      <c r="H23" s="7">
        <v>19.5</v>
      </c>
      <c r="I23" s="2"/>
      <c r="J23" s="6">
        <f t="shared" si="1"/>
        <v>0</v>
      </c>
      <c r="K23" s="2"/>
      <c r="L23" s="7">
        <f t="shared" si="2"/>
        <v>-5.24</v>
      </c>
      <c r="M23" s="2"/>
      <c r="N23" s="6">
        <f t="shared" si="3"/>
        <v>-0.26871794871794874</v>
      </c>
      <c r="O23" s="11"/>
      <c r="P23" s="7">
        <v>163.09</v>
      </c>
      <c r="Q23" s="2"/>
      <c r="R23" s="6">
        <f t="shared" si="4"/>
        <v>0</v>
      </c>
      <c r="S23" s="2"/>
      <c r="T23" s="7">
        <v>171.6</v>
      </c>
      <c r="U23" s="2"/>
      <c r="V23" s="6">
        <f t="shared" si="5"/>
        <v>0</v>
      </c>
      <c r="W23" s="2"/>
      <c r="X23" s="7">
        <f t="shared" si="6"/>
        <v>-8.5099999999999909</v>
      </c>
      <c r="Y23" s="2"/>
      <c r="Z23" s="6">
        <f t="shared" si="7"/>
        <v>-4.9592074592074542E-2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368.66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368.66</v>
      </c>
      <c r="M24" s="2"/>
      <c r="N24" s="6">
        <f t="shared" si="3"/>
        <v>0</v>
      </c>
      <c r="O24" s="11"/>
      <c r="P24" s="7">
        <v>1547.82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1547.82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414.9</v>
      </c>
      <c r="E26" s="2"/>
      <c r="F26" s="6">
        <f t="shared" si="0"/>
        <v>0</v>
      </c>
      <c r="G26" s="2"/>
      <c r="H26" s="7">
        <v>300</v>
      </c>
      <c r="I26" s="2"/>
      <c r="J26" s="6">
        <f t="shared" si="1"/>
        <v>0</v>
      </c>
      <c r="K26" s="2"/>
      <c r="L26" s="7">
        <f t="shared" si="2"/>
        <v>114.89999999999998</v>
      </c>
      <c r="M26" s="2"/>
      <c r="N26" s="6">
        <f t="shared" si="3"/>
        <v>0.38299999999999995</v>
      </c>
      <c r="O26" s="11"/>
      <c r="P26" s="7">
        <v>2538.3000000000002</v>
      </c>
      <c r="Q26" s="2"/>
      <c r="R26" s="6">
        <f t="shared" si="4"/>
        <v>0</v>
      </c>
      <c r="S26" s="2"/>
      <c r="T26" s="7">
        <v>2640</v>
      </c>
      <c r="U26" s="2"/>
      <c r="V26" s="6">
        <f t="shared" si="5"/>
        <v>0</v>
      </c>
      <c r="W26" s="2"/>
      <c r="X26" s="7">
        <f t="shared" si="6"/>
        <v>-101.69999999999982</v>
      </c>
      <c r="Y26" s="2"/>
      <c r="Z26" s="6">
        <f t="shared" si="7"/>
        <v>-3.8522727272727202E-2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332.1</v>
      </c>
      <c r="E27" s="2"/>
      <c r="F27" s="6">
        <f t="shared" si="0"/>
        <v>0</v>
      </c>
      <c r="G27" s="2"/>
      <c r="H27" s="7">
        <v>225</v>
      </c>
      <c r="I27" s="2"/>
      <c r="J27" s="6">
        <f t="shared" si="1"/>
        <v>0</v>
      </c>
      <c r="K27" s="2"/>
      <c r="L27" s="7">
        <f t="shared" si="2"/>
        <v>107.10000000000002</v>
      </c>
      <c r="M27" s="2"/>
      <c r="N27" s="6">
        <f t="shared" si="3"/>
        <v>0.47600000000000009</v>
      </c>
      <c r="O27" s="11"/>
      <c r="P27" s="7">
        <v>2546.1</v>
      </c>
      <c r="Q27" s="2"/>
      <c r="R27" s="6">
        <f t="shared" si="4"/>
        <v>0</v>
      </c>
      <c r="S27" s="2"/>
      <c r="T27" s="7">
        <v>1980</v>
      </c>
      <c r="U27" s="2"/>
      <c r="V27" s="6">
        <f t="shared" si="5"/>
        <v>0</v>
      </c>
      <c r="W27" s="2"/>
      <c r="X27" s="7">
        <f t="shared" si="6"/>
        <v>566.09999999999991</v>
      </c>
      <c r="Y27" s="2"/>
      <c r="Z27" s="6">
        <f t="shared" si="7"/>
        <v>0.28590909090909089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1750</v>
      </c>
      <c r="U28" s="2"/>
      <c r="V28" s="6">
        <f t="shared" si="5"/>
        <v>0</v>
      </c>
      <c r="W28" s="2"/>
      <c r="X28" s="7">
        <f t="shared" si="6"/>
        <v>-1750</v>
      </c>
      <c r="Y28" s="2"/>
      <c r="Z28" s="6">
        <f t="shared" si="7"/>
        <v>-1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5794.34</v>
      </c>
      <c r="E29" s="1"/>
      <c r="F29" s="5">
        <f t="shared" ref="F29:F39" si="8">IF(D$12=0,0,D29/D$12)</f>
        <v>0</v>
      </c>
      <c r="G29" s="1"/>
      <c r="H29" s="1">
        <f>SUM(OSRRefH22_1x_0)</f>
        <v>7095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-1300.6599999999999</v>
      </c>
      <c r="M29" s="1"/>
      <c r="N29" s="5">
        <f t="shared" ref="N29:N39" si="11">IF(H29=0,0,L29/H29)</f>
        <v>-0.18332064834390413</v>
      </c>
      <c r="O29" s="13"/>
      <c r="P29" s="1">
        <f>SUM(OSRRefP22_1x_0)</f>
        <v>65959.95</v>
      </c>
      <c r="Q29" s="1"/>
      <c r="R29" s="5">
        <f t="shared" ref="R29:R39" si="12">IF(P$12=0,0,P29/P$12)</f>
        <v>0</v>
      </c>
      <c r="S29" s="1"/>
      <c r="T29" s="1">
        <f>SUM(OSRRefT22_1x_0)</f>
        <v>62436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3523.9499999999971</v>
      </c>
      <c r="Y29" s="1"/>
      <c r="Z29" s="5">
        <f t="shared" ref="Z29:Z39" si="15">IF(T29=0,0,X29/T29)</f>
        <v>5.6440995579473331E-2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5730</v>
      </c>
      <c r="E33" s="2"/>
      <c r="F33" s="6">
        <f t="shared" si="8"/>
        <v>0</v>
      </c>
      <c r="G33" s="2"/>
      <c r="H33" s="7">
        <v>5640</v>
      </c>
      <c r="I33" s="2"/>
      <c r="J33" s="6">
        <f t="shared" si="9"/>
        <v>0</v>
      </c>
      <c r="K33" s="2"/>
      <c r="L33" s="7">
        <f t="shared" si="10"/>
        <v>90</v>
      </c>
      <c r="M33" s="2"/>
      <c r="N33" s="6">
        <f t="shared" si="11"/>
        <v>1.5957446808510637E-2</v>
      </c>
      <c r="O33" s="11"/>
      <c r="P33" s="7">
        <v>52490.1</v>
      </c>
      <c r="Q33" s="2"/>
      <c r="R33" s="6">
        <f t="shared" si="12"/>
        <v>0</v>
      </c>
      <c r="S33" s="2"/>
      <c r="T33" s="7">
        <v>49632</v>
      </c>
      <c r="U33" s="2"/>
      <c r="V33" s="6">
        <f t="shared" si="13"/>
        <v>0</v>
      </c>
      <c r="W33" s="2"/>
      <c r="X33" s="7">
        <f t="shared" si="14"/>
        <v>2858.0999999999985</v>
      </c>
      <c r="Y33" s="2"/>
      <c r="Z33" s="6">
        <f t="shared" si="15"/>
        <v>5.7585831721469992E-2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-1491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-1491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2619</v>
      </c>
      <c r="U36" s="2"/>
      <c r="V36" s="6">
        <f t="shared" si="13"/>
        <v>0</v>
      </c>
      <c r="W36" s="2"/>
      <c r="X36" s="7">
        <f t="shared" si="14"/>
        <v>-2619</v>
      </c>
      <c r="Y36" s="2"/>
      <c r="Z36" s="6">
        <f t="shared" si="15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1555.34</v>
      </c>
      <c r="E37" s="2"/>
      <c r="F37" s="6">
        <f t="shared" si="8"/>
        <v>0</v>
      </c>
      <c r="G37" s="2"/>
      <c r="H37" s="7">
        <v>1455</v>
      </c>
      <c r="I37" s="2"/>
      <c r="J37" s="6">
        <f t="shared" si="9"/>
        <v>0</v>
      </c>
      <c r="K37" s="2"/>
      <c r="L37" s="7">
        <f t="shared" si="10"/>
        <v>100.33999999999992</v>
      </c>
      <c r="M37" s="2"/>
      <c r="N37" s="6">
        <f t="shared" si="11"/>
        <v>6.8962199312714717E-2</v>
      </c>
      <c r="O37" s="11"/>
      <c r="P37" s="7">
        <v>13469.85</v>
      </c>
      <c r="Q37" s="2"/>
      <c r="R37" s="6">
        <f t="shared" si="12"/>
        <v>0</v>
      </c>
      <c r="S37" s="2"/>
      <c r="T37" s="7">
        <v>10185</v>
      </c>
      <c r="U37" s="2"/>
      <c r="V37" s="6">
        <f t="shared" si="13"/>
        <v>0</v>
      </c>
      <c r="W37" s="2"/>
      <c r="X37" s="7">
        <f t="shared" si="14"/>
        <v>3284.8500000000004</v>
      </c>
      <c r="Y37" s="2"/>
      <c r="Z37" s="6">
        <f t="shared" si="15"/>
        <v>0.32251840942562593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-8333</v>
      </c>
      <c r="M40" s="1"/>
      <c r="N40" s="5">
        <f t="shared" ref="N40:N54" si="19">IF(H40=0,0,L40/H40)</f>
        <v>-1</v>
      </c>
      <c r="O40" s="13"/>
      <c r="P40" s="1">
        <f>SUM(OSRRefP22_2x_0)</f>
        <v>1558.89</v>
      </c>
      <c r="Q40" s="1"/>
      <c r="R40" s="5">
        <f t="shared" ref="R40:R54" si="20">IF(P$12=0,0,P40/P$12)</f>
        <v>0</v>
      </c>
      <c r="S40" s="1"/>
      <c r="T40" s="1">
        <f>SUM(OSRRefT22_2x_0)</f>
        <v>83330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-81771.11</v>
      </c>
      <c r="Y40" s="1"/>
      <c r="Z40" s="5">
        <f t="shared" ref="Z40:Z54" si="23">IF(T40=0,0,X40/T40)</f>
        <v>-0.9812925717028681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-8333</v>
      </c>
      <c r="M41" s="2"/>
      <c r="N41" s="6">
        <f t="shared" si="19"/>
        <v>-1</v>
      </c>
      <c r="O41" s="11"/>
      <c r="P41" s="7">
        <v>1558.89</v>
      </c>
      <c r="Q41" s="2"/>
      <c r="R41" s="6">
        <f t="shared" si="20"/>
        <v>0</v>
      </c>
      <c r="S41" s="2"/>
      <c r="T41" s="7">
        <v>83330</v>
      </c>
      <c r="U41" s="2"/>
      <c r="V41" s="6">
        <f t="shared" si="21"/>
        <v>0</v>
      </c>
      <c r="W41" s="2"/>
      <c r="X41" s="7">
        <f t="shared" si="22"/>
        <v>-81771.11</v>
      </c>
      <c r="Y41" s="2"/>
      <c r="Z41" s="6">
        <f t="shared" si="23"/>
        <v>-0.9812925717028681</v>
      </c>
    </row>
    <row r="42" spans="1:26" s="25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SUM(OSRRefP22_3x_0)</f>
        <v>1898.94</v>
      </c>
      <c r="Q42" s="1"/>
      <c r="R42" s="5">
        <f t="shared" si="20"/>
        <v>0</v>
      </c>
      <c r="S42" s="1"/>
      <c r="T42" s="1">
        <f>SUM(OSRRefT22_3x_0)</f>
        <v>1897</v>
      </c>
      <c r="U42" s="1"/>
      <c r="V42" s="5">
        <f t="shared" si="21"/>
        <v>0</v>
      </c>
      <c r="W42" s="1"/>
      <c r="X42" s="1">
        <f t="shared" si="22"/>
        <v>1.9400000000000546</v>
      </c>
      <c r="Y42" s="1"/>
      <c r="Z42" s="5">
        <f t="shared" si="23"/>
        <v>1.022667369530867E-3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1898.94</v>
      </c>
      <c r="Q43" s="2"/>
      <c r="R43" s="6">
        <f t="shared" si="20"/>
        <v>0</v>
      </c>
      <c r="S43" s="2"/>
      <c r="T43" s="7">
        <v>1897</v>
      </c>
      <c r="U43" s="2"/>
      <c r="V43" s="6">
        <f t="shared" si="21"/>
        <v>0</v>
      </c>
      <c r="W43" s="2"/>
      <c r="X43" s="7">
        <f t="shared" si="22"/>
        <v>1.9400000000000546</v>
      </c>
      <c r="Y43" s="2"/>
      <c r="Z43" s="6">
        <f t="shared" si="23"/>
        <v>1.022667369530867E-3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6670</v>
      </c>
      <c r="U46" s="1"/>
      <c r="V46" s="5">
        <f t="shared" si="21"/>
        <v>0</v>
      </c>
      <c r="W46" s="1"/>
      <c r="X46" s="1">
        <f t="shared" si="22"/>
        <v>-6670</v>
      </c>
      <c r="Y46" s="1"/>
      <c r="Z46" s="5">
        <f t="shared" si="23"/>
        <v>-1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6670</v>
      </c>
      <c r="U47" s="2"/>
      <c r="V47" s="6">
        <f t="shared" si="21"/>
        <v>0</v>
      </c>
      <c r="W47" s="2"/>
      <c r="X47" s="7">
        <f t="shared" si="22"/>
        <v>-6670</v>
      </c>
      <c r="Y47" s="2"/>
      <c r="Z47" s="6">
        <f t="shared" si="23"/>
        <v>-1</v>
      </c>
    </row>
    <row r="48" spans="1:26" s="25" customFormat="1" outlineLevel="1" collapsed="1" x14ac:dyDescent="0.25">
      <c r="A48" s="27"/>
      <c r="B48" s="13" t="str">
        <f>CONCATENATE("     ","Subscriptions &amp; Dues                              ")</f>
        <v xml:space="preserve">     Subscriptions &amp; Dues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6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5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8330</v>
      </c>
      <c r="U50" s="1"/>
      <c r="V50" s="5">
        <f t="shared" si="21"/>
        <v>0</v>
      </c>
      <c r="W50" s="1"/>
      <c r="X50" s="1">
        <f t="shared" si="22"/>
        <v>-8330</v>
      </c>
      <c r="Y50" s="1"/>
      <c r="Z50" s="5">
        <f t="shared" si="23"/>
        <v>-1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8330</v>
      </c>
      <c r="U51" s="2"/>
      <c r="V51" s="6">
        <f t="shared" si="21"/>
        <v>0</v>
      </c>
      <c r="W51" s="2"/>
      <c r="X51" s="7">
        <f t="shared" si="22"/>
        <v>-8330</v>
      </c>
      <c r="Y51" s="2"/>
      <c r="Z51" s="6">
        <f t="shared" si="23"/>
        <v>-1</v>
      </c>
    </row>
    <row r="52" spans="1:26" s="25" customFormat="1" outlineLevel="1" collapsed="1" x14ac:dyDescent="0.25">
      <c r="A52" s="27"/>
      <c r="B52" s="13" t="str">
        <f>CONCATENATE("     ","Telephone/Data Lines                              ")</f>
        <v xml:space="preserve">     Telephone/Data Lines                              </v>
      </c>
      <c r="C52" s="13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3"/>
      <c r="P52" s="1">
        <f>SUM(OSRRefP22_8x_0)</f>
        <v>324.14999999999998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-1475.85</v>
      </c>
      <c r="Y52" s="1"/>
      <c r="Z52" s="5">
        <f t="shared" si="23"/>
        <v>-0.81991666666666663</v>
      </c>
    </row>
    <row r="53" spans="1:26" s="24" customFormat="1" hidden="1" outlineLevel="2" x14ac:dyDescent="0.25">
      <c r="A53" s="26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</v>
      </c>
      <c r="M54" s="2"/>
      <c r="N54" s="6">
        <f t="shared" si="19"/>
        <v>0</v>
      </c>
      <c r="O54" s="11"/>
      <c r="P54" s="7">
        <v>324.14999999999998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324.14999999999998</v>
      </c>
      <c r="Y54" s="2"/>
      <c r="Z54" s="6">
        <f t="shared" si="23"/>
        <v>0</v>
      </c>
    </row>
    <row r="55" spans="1:26" s="25" customFormat="1" outlineLevel="1" collapsed="1" x14ac:dyDescent="0.25">
      <c r="A55" s="27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3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6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61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277</v>
      </c>
      <c r="C60" s="28"/>
      <c r="D60" s="21">
        <f>+D16-D18+D58</f>
        <v>-8201.7900000000009</v>
      </c>
      <c r="E60" s="14"/>
      <c r="F60" s="20">
        <f>IF(D$12=0,0,D60/D$12)</f>
        <v>0</v>
      </c>
      <c r="G60" s="14"/>
      <c r="H60" s="21">
        <f>+H16-H18+H58</f>
        <v>-18898.737692307692</v>
      </c>
      <c r="I60" s="14"/>
      <c r="J60" s="20">
        <f>IF(H$12=0,0,H60/H$12)</f>
        <v>0</v>
      </c>
      <c r="K60" s="16"/>
      <c r="L60" s="21">
        <f>+D60-H60</f>
        <v>10696.947692307691</v>
      </c>
      <c r="M60" s="16"/>
      <c r="N60" s="20">
        <f>IF(H60=0,0,L60/H60)</f>
        <v>-0.56601387174454743</v>
      </c>
      <c r="O60" s="29"/>
      <c r="P60" s="21">
        <f>+P16-P18+P58</f>
        <v>-87864.8</v>
      </c>
      <c r="Q60" s="14"/>
      <c r="R60" s="20">
        <f>IF(P$12=0,0,P60/P$12)</f>
        <v>0</v>
      </c>
      <c r="S60" s="14"/>
      <c r="T60" s="21">
        <f>+T16-T18+T58</f>
        <v>-185722.12269230769</v>
      </c>
      <c r="U60" s="14"/>
      <c r="V60" s="20">
        <f>IF(T$12=0,0,T60/T$12)</f>
        <v>0</v>
      </c>
      <c r="W60" s="16"/>
      <c r="X60" s="21">
        <f>+P60-T60</f>
        <v>97857.322692307687</v>
      </c>
      <c r="Y60" s="16"/>
      <c r="Z60" s="20">
        <f>IF(T60=0,0,X60/T60)</f>
        <v>-0.52690181047753437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8" t="s">
        <v>126</v>
      </c>
      <c r="C64" s="28"/>
      <c r="D64" s="31">
        <f>+D60-D62</f>
        <v>-8201.7900000000009</v>
      </c>
      <c r="E64" s="14"/>
      <c r="F64" s="33">
        <f>IF(D$12=0,0,D64/D$12)</f>
        <v>0</v>
      </c>
      <c r="G64" s="14"/>
      <c r="H64" s="31">
        <f>+H60-H62</f>
        <v>-18898.737692307692</v>
      </c>
      <c r="I64" s="14"/>
      <c r="J64" s="33">
        <f>IF(H$12=0,0,H64/H$12)</f>
        <v>0</v>
      </c>
      <c r="K64" s="16"/>
      <c r="L64" s="31">
        <f>D64-H64</f>
        <v>10696.947692307691</v>
      </c>
      <c r="M64" s="16"/>
      <c r="N64" s="33">
        <f>IF(H64=0,0,L64/H64)</f>
        <v>-0.56601387174454743</v>
      </c>
      <c r="O64" s="29"/>
      <c r="P64" s="31">
        <f>+P60-P62</f>
        <v>-87864.8</v>
      </c>
      <c r="Q64" s="14"/>
      <c r="R64" s="33">
        <f>IF(P$12=0,0,P64/P$12)</f>
        <v>0</v>
      </c>
      <c r="S64" s="14"/>
      <c r="T64" s="31">
        <f>+T60-T62</f>
        <v>-185722.12269230769</v>
      </c>
      <c r="U64" s="14"/>
      <c r="V64" s="33">
        <f>IF(T$12=0,0,T64/T$12)</f>
        <v>0</v>
      </c>
      <c r="W64" s="16"/>
      <c r="X64" s="31">
        <f>P64-T64</f>
        <v>97857.322692307687</v>
      </c>
      <c r="Y64" s="16"/>
      <c r="Z64" s="33">
        <f>IF(T64=0,0,X64/T64)</f>
        <v>-0.52690181047753437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294</v>
      </c>
      <c r="C67" s="28"/>
      <c r="D67" s="34">
        <f>SUM(D64:D66)</f>
        <v>-8201.7900000000009</v>
      </c>
      <c r="E67" s="14"/>
      <c r="F67" s="35">
        <f>IF(D$12=0,0,D67/D$12)</f>
        <v>0</v>
      </c>
      <c r="G67" s="14"/>
      <c r="H67" s="34">
        <f>SUM(H64:H66)</f>
        <v>-18898.737692307692</v>
      </c>
      <c r="I67" s="14"/>
      <c r="J67" s="35">
        <f>IF(H$12=0,0,H67/H$12)</f>
        <v>0</v>
      </c>
      <c r="K67" s="16"/>
      <c r="L67" s="34">
        <f>+D67-H67</f>
        <v>10696.947692307691</v>
      </c>
      <c r="M67" s="16"/>
      <c r="N67" s="35">
        <f>IF(H67=0,0,L67/H67)</f>
        <v>-0.56601387174454743</v>
      </c>
      <c r="O67" s="29"/>
      <c r="P67" s="34">
        <f>SUM(P64:P66)</f>
        <v>-87864.8</v>
      </c>
      <c r="Q67" s="14"/>
      <c r="R67" s="35">
        <f>IF(P$12=0,0,P67/P$12)</f>
        <v>0</v>
      </c>
      <c r="S67" s="14"/>
      <c r="T67" s="34">
        <f>SUM(T64:T66)</f>
        <v>-185722.12269230769</v>
      </c>
      <c r="U67" s="14"/>
      <c r="V67" s="35">
        <f>IF(T$12=0,0,T67/T$12)</f>
        <v>0</v>
      </c>
      <c r="W67" s="16"/>
      <c r="X67" s="34">
        <f>+P67-T67</f>
        <v>97857.322692307687</v>
      </c>
      <c r="Y67" s="16"/>
      <c r="Z67" s="35">
        <f>IF(T67=0,0,X67/T67)</f>
        <v>-0.52690181047753437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2">
        <v>44330.0058283912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6" t="s">
        <v>56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5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107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438518.1100000001</v>
      </c>
      <c r="E12" s="4"/>
      <c r="F12" s="12"/>
      <c r="G12" s="4"/>
      <c r="H12" s="4">
        <f>SUM(OSRRefH13x_0)</f>
        <v>565473</v>
      </c>
      <c r="I12" s="4"/>
      <c r="J12" s="12"/>
      <c r="K12" s="4"/>
      <c r="L12" s="4">
        <f t="shared" ref="L12:L79" si="0">+D12-H12</f>
        <v>-126954.8899999999</v>
      </c>
      <c r="M12" s="4"/>
      <c r="N12" s="12">
        <f t="shared" ref="N12:N79" si="1">IF(H12=0,0,L12/H12)</f>
        <v>-0.22451096692503425</v>
      </c>
      <c r="O12" s="10"/>
      <c r="P12" s="4">
        <f>SUM(OSRRefP13x_0)</f>
        <v>4705512.34</v>
      </c>
      <c r="Q12" s="4"/>
      <c r="R12" s="12"/>
      <c r="S12" s="4"/>
      <c r="T12" s="4">
        <f>SUM(OSRRefT13x_0)</f>
        <v>8745220</v>
      </c>
      <c r="U12" s="4"/>
      <c r="V12" s="12"/>
      <c r="W12" s="4"/>
      <c r="X12" s="4">
        <f t="shared" ref="X12:X79" si="2">+P12-T12</f>
        <v>-4039707.66</v>
      </c>
      <c r="Y12" s="4"/>
      <c r="Z12" s="12">
        <f t="shared" ref="Z12:Z79" si="3">IF(T12=0,0,X12/T12)</f>
        <v>-0.46193322294922257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-13171.93</f>
        <v>-13171.93</v>
      </c>
      <c r="E13" s="2"/>
      <c r="F13" s="19"/>
      <c r="G13" s="2"/>
      <c r="H13" s="2">
        <v>429229</v>
      </c>
      <c r="I13" s="2"/>
      <c r="J13" s="19"/>
      <c r="K13" s="2"/>
      <c r="L13" s="2">
        <f t="shared" si="0"/>
        <v>-442400.93</v>
      </c>
      <c r="M13" s="2"/>
      <c r="N13" s="19">
        <f t="shared" si="1"/>
        <v>-1.0306874186040551</v>
      </c>
      <c r="O13" s="11"/>
      <c r="P13" s="2">
        <f>-133095.19</f>
        <v>-133095.19</v>
      </c>
      <c r="Q13" s="2"/>
      <c r="R13" s="19"/>
      <c r="S13" s="2"/>
      <c r="T13" s="2">
        <v>7977705</v>
      </c>
      <c r="U13" s="2"/>
      <c r="V13" s="19"/>
      <c r="W13" s="2"/>
      <c r="X13" s="2">
        <f t="shared" si="2"/>
        <v>-8110800.1900000004</v>
      </c>
      <c r="Y13" s="2"/>
      <c r="Z13" s="19">
        <f t="shared" si="3"/>
        <v>-1.0166833932816519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--31347.12</f>
        <v>31347.119999999999</v>
      </c>
      <c r="E14" s="2"/>
      <c r="F14" s="19"/>
      <c r="G14" s="2"/>
      <c r="H14" s="2"/>
      <c r="I14" s="2"/>
      <c r="J14" s="19"/>
      <c r="K14" s="2"/>
      <c r="L14" s="2">
        <f t="shared" si="0"/>
        <v>31347.119999999999</v>
      </c>
      <c r="M14" s="2"/>
      <c r="N14" s="19">
        <f t="shared" si="1"/>
        <v>0</v>
      </c>
      <c r="O14" s="11"/>
      <c r="P14" s="2">
        <f>--1263810.36</f>
        <v>1263810.3600000001</v>
      </c>
      <c r="Q14" s="2"/>
      <c r="R14" s="19"/>
      <c r="S14" s="2"/>
      <c r="T14" s="2"/>
      <c r="U14" s="2"/>
      <c r="V14" s="19"/>
      <c r="W14" s="2"/>
      <c r="X14" s="2">
        <f t="shared" si="2"/>
        <v>1263810.3600000001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--1971.3</f>
        <v>1971.3</v>
      </c>
      <c r="E15" s="2"/>
      <c r="F15" s="19"/>
      <c r="G15" s="2"/>
      <c r="H15" s="2"/>
      <c r="I15" s="2"/>
      <c r="J15" s="19"/>
      <c r="K15" s="2"/>
      <c r="L15" s="2">
        <f t="shared" si="0"/>
        <v>1971.3</v>
      </c>
      <c r="M15" s="2"/>
      <c r="N15" s="19">
        <f t="shared" si="1"/>
        <v>0</v>
      </c>
      <c r="O15" s="11"/>
      <c r="P15" s="2">
        <f>--578768.63</f>
        <v>578768.63</v>
      </c>
      <c r="Q15" s="2"/>
      <c r="R15" s="19"/>
      <c r="S15" s="2"/>
      <c r="T15" s="2"/>
      <c r="U15" s="2"/>
      <c r="V15" s="19"/>
      <c r="W15" s="2"/>
      <c r="X15" s="2">
        <f t="shared" si="2"/>
        <v>578768.63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--20</f>
        <v>20</v>
      </c>
      <c r="E16" s="2"/>
      <c r="F16" s="19"/>
      <c r="G16" s="2"/>
      <c r="H16" s="2"/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1"/>
      <c r="P16" s="2">
        <f>--17997.88</f>
        <v>17997.88</v>
      </c>
      <c r="Q16" s="2"/>
      <c r="R16" s="19"/>
      <c r="S16" s="2"/>
      <c r="T16" s="2"/>
      <c r="U16" s="2"/>
      <c r="V16" s="19"/>
      <c r="W16" s="2"/>
      <c r="X16" s="2">
        <f t="shared" si="2"/>
        <v>17997.88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--61.81</f>
        <v>61.81</v>
      </c>
      <c r="E18" s="2"/>
      <c r="F18" s="19"/>
      <c r="G18" s="2"/>
      <c r="H18" s="2"/>
      <c r="I18" s="2"/>
      <c r="J18" s="19"/>
      <c r="K18" s="2"/>
      <c r="L18" s="2">
        <f t="shared" si="0"/>
        <v>61.81</v>
      </c>
      <c r="M18" s="2"/>
      <c r="N18" s="19">
        <f t="shared" si="1"/>
        <v>0</v>
      </c>
      <c r="O18" s="11"/>
      <c r="P18" s="2">
        <f>--1263.83</f>
        <v>1263.83</v>
      </c>
      <c r="Q18" s="2"/>
      <c r="R18" s="19"/>
      <c r="S18" s="2"/>
      <c r="T18" s="2"/>
      <c r="U18" s="2"/>
      <c r="V18" s="19"/>
      <c r="W18" s="2"/>
      <c r="X18" s="2">
        <f t="shared" si="2"/>
        <v>1263.83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--36.85</f>
        <v>36.85</v>
      </c>
      <c r="E19" s="2"/>
      <c r="F19" s="19"/>
      <c r="G19" s="2"/>
      <c r="H19" s="2"/>
      <c r="I19" s="2"/>
      <c r="J19" s="19"/>
      <c r="K19" s="2"/>
      <c r="L19" s="2">
        <f t="shared" si="0"/>
        <v>36.85</v>
      </c>
      <c r="M19" s="2"/>
      <c r="N19" s="19">
        <f t="shared" si="1"/>
        <v>0</v>
      </c>
      <c r="O19" s="11"/>
      <c r="P19" s="2">
        <f>--484.55</f>
        <v>484.55</v>
      </c>
      <c r="Q19" s="2"/>
      <c r="R19" s="19"/>
      <c r="S19" s="2"/>
      <c r="T19" s="2"/>
      <c r="U19" s="2"/>
      <c r="V19" s="19"/>
      <c r="W19" s="2"/>
      <c r="X19" s="2">
        <f t="shared" si="2"/>
        <v>484.55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--72.96</f>
        <v>72.959999999999994</v>
      </c>
      <c r="E20" s="2"/>
      <c r="F20" s="19"/>
      <c r="G20" s="2"/>
      <c r="H20" s="2"/>
      <c r="I20" s="2"/>
      <c r="J20" s="19"/>
      <c r="K20" s="2"/>
      <c r="L20" s="2">
        <f t="shared" si="0"/>
        <v>72.959999999999994</v>
      </c>
      <c r="M20" s="2"/>
      <c r="N20" s="19">
        <f t="shared" si="1"/>
        <v>0</v>
      </c>
      <c r="O20" s="11"/>
      <c r="P20" s="2">
        <f>--473.1</f>
        <v>473.1</v>
      </c>
      <c r="Q20" s="2"/>
      <c r="R20" s="19"/>
      <c r="S20" s="2"/>
      <c r="T20" s="2"/>
      <c r="U20" s="2"/>
      <c r="V20" s="19"/>
      <c r="W20" s="2"/>
      <c r="X20" s="2">
        <f t="shared" si="2"/>
        <v>473.1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--21.42</f>
        <v>21.42</v>
      </c>
      <c r="E21" s="2"/>
      <c r="F21" s="19"/>
      <c r="G21" s="2"/>
      <c r="H21" s="2"/>
      <c r="I21" s="2"/>
      <c r="J21" s="19"/>
      <c r="K21" s="2"/>
      <c r="L21" s="2">
        <f t="shared" si="0"/>
        <v>21.42</v>
      </c>
      <c r="M21" s="2"/>
      <c r="N21" s="19">
        <f t="shared" si="1"/>
        <v>0</v>
      </c>
      <c r="O21" s="11"/>
      <c r="P21" s="2">
        <f>--486.17</f>
        <v>486.17</v>
      </c>
      <c r="Q21" s="2"/>
      <c r="R21" s="19"/>
      <c r="S21" s="2"/>
      <c r="T21" s="2"/>
      <c r="U21" s="2"/>
      <c r="V21" s="19"/>
      <c r="W21" s="2"/>
      <c r="X21" s="2">
        <f t="shared" si="2"/>
        <v>486.17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--6558.65</f>
        <v>6558.65</v>
      </c>
      <c r="E22" s="2"/>
      <c r="F22" s="19"/>
      <c r="G22" s="2"/>
      <c r="H22" s="2"/>
      <c r="I22" s="2"/>
      <c r="J22" s="19"/>
      <c r="K22" s="2"/>
      <c r="L22" s="2">
        <f t="shared" si="0"/>
        <v>6558.65</v>
      </c>
      <c r="M22" s="2"/>
      <c r="N22" s="19">
        <f t="shared" si="1"/>
        <v>0</v>
      </c>
      <c r="O22" s="11"/>
      <c r="P22" s="2">
        <f>--64070.97</f>
        <v>64070.97</v>
      </c>
      <c r="Q22" s="2"/>
      <c r="R22" s="19"/>
      <c r="S22" s="2"/>
      <c r="T22" s="2"/>
      <c r="U22" s="2"/>
      <c r="V22" s="19"/>
      <c r="W22" s="2"/>
      <c r="X22" s="2">
        <f t="shared" si="2"/>
        <v>64070.97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--2650.79</f>
        <v>2650.79</v>
      </c>
      <c r="E23" s="2"/>
      <c r="F23" s="19"/>
      <c r="G23" s="2"/>
      <c r="H23" s="2"/>
      <c r="I23" s="2"/>
      <c r="J23" s="19"/>
      <c r="K23" s="2"/>
      <c r="L23" s="2">
        <f t="shared" si="0"/>
        <v>2650.79</v>
      </c>
      <c r="M23" s="2"/>
      <c r="N23" s="19">
        <f t="shared" si="1"/>
        <v>0</v>
      </c>
      <c r="O23" s="11"/>
      <c r="P23" s="2">
        <f>--46900.17</f>
        <v>46900.17</v>
      </c>
      <c r="Q23" s="2"/>
      <c r="R23" s="19"/>
      <c r="S23" s="2"/>
      <c r="T23" s="2"/>
      <c r="U23" s="2"/>
      <c r="V23" s="19"/>
      <c r="W23" s="2"/>
      <c r="X23" s="2">
        <f t="shared" si="2"/>
        <v>46900.17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--595.72</f>
        <v>595.72</v>
      </c>
      <c r="E24" s="2"/>
      <c r="F24" s="19"/>
      <c r="G24" s="2"/>
      <c r="H24" s="2"/>
      <c r="I24" s="2"/>
      <c r="J24" s="19"/>
      <c r="K24" s="2"/>
      <c r="L24" s="2">
        <f t="shared" si="0"/>
        <v>595.72</v>
      </c>
      <c r="M24" s="2"/>
      <c r="N24" s="19">
        <f t="shared" si="1"/>
        <v>0</v>
      </c>
      <c r="O24" s="11"/>
      <c r="P24" s="2">
        <f>--4210.59</f>
        <v>4210.59</v>
      </c>
      <c r="Q24" s="2"/>
      <c r="R24" s="19"/>
      <c r="S24" s="2"/>
      <c r="T24" s="2"/>
      <c r="U24" s="2"/>
      <c r="V24" s="19"/>
      <c r="W24" s="2"/>
      <c r="X24" s="2">
        <f t="shared" si="2"/>
        <v>4210.59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--159179.58</f>
        <v>159179.57999999999</v>
      </c>
      <c r="E27" s="2"/>
      <c r="F27" s="19"/>
      <c r="G27" s="2"/>
      <c r="H27" s="2"/>
      <c r="I27" s="2"/>
      <c r="J27" s="19"/>
      <c r="K27" s="2"/>
      <c r="L27" s="2">
        <f t="shared" si="0"/>
        <v>159179.57999999999</v>
      </c>
      <c r="M27" s="2"/>
      <c r="N27" s="19">
        <f t="shared" si="1"/>
        <v>0</v>
      </c>
      <c r="O27" s="11"/>
      <c r="P27" s="2">
        <f>--913180.73</f>
        <v>913180.73</v>
      </c>
      <c r="Q27" s="2"/>
      <c r="R27" s="19"/>
      <c r="S27" s="2"/>
      <c r="T27" s="2"/>
      <c r="U27" s="2"/>
      <c r="V27" s="19"/>
      <c r="W27" s="2"/>
      <c r="X27" s="2">
        <f t="shared" si="2"/>
        <v>913180.73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--116440.2</f>
        <v>116440.2</v>
      </c>
      <c r="E28" s="2"/>
      <c r="F28" s="19"/>
      <c r="G28" s="2"/>
      <c r="H28" s="2"/>
      <c r="I28" s="2"/>
      <c r="J28" s="19"/>
      <c r="K28" s="2"/>
      <c r="L28" s="2">
        <f t="shared" si="0"/>
        <v>116440.2</v>
      </c>
      <c r="M28" s="2"/>
      <c r="N28" s="19">
        <f t="shared" si="1"/>
        <v>0</v>
      </c>
      <c r="O28" s="11"/>
      <c r="P28" s="2">
        <f>--440456.98</f>
        <v>440456.98</v>
      </c>
      <c r="Q28" s="2"/>
      <c r="R28" s="19"/>
      <c r="S28" s="2"/>
      <c r="T28" s="2"/>
      <c r="U28" s="2"/>
      <c r="V28" s="19"/>
      <c r="W28" s="2"/>
      <c r="X28" s="2">
        <f t="shared" si="2"/>
        <v>440456.98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--10630.32</f>
        <v>10630.32</v>
      </c>
      <c r="E29" s="2"/>
      <c r="F29" s="19"/>
      <c r="G29" s="2"/>
      <c r="H29" s="2"/>
      <c r="I29" s="2"/>
      <c r="J29" s="19"/>
      <c r="K29" s="2"/>
      <c r="L29" s="2">
        <f t="shared" si="0"/>
        <v>10630.32</v>
      </c>
      <c r="M29" s="2"/>
      <c r="N29" s="19">
        <f t="shared" si="1"/>
        <v>0</v>
      </c>
      <c r="O29" s="11"/>
      <c r="P29" s="2">
        <f>--100678.52</f>
        <v>100678.52</v>
      </c>
      <c r="Q29" s="2"/>
      <c r="R29" s="19"/>
      <c r="S29" s="2"/>
      <c r="T29" s="2"/>
      <c r="U29" s="2"/>
      <c r="V29" s="19"/>
      <c r="W29" s="2"/>
      <c r="X29" s="2">
        <f t="shared" si="2"/>
        <v>100678.52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--4423.21</f>
        <v>4423.21</v>
      </c>
      <c r="E30" s="2"/>
      <c r="F30" s="19"/>
      <c r="G30" s="2"/>
      <c r="H30" s="2"/>
      <c r="I30" s="2"/>
      <c r="J30" s="19"/>
      <c r="K30" s="2"/>
      <c r="L30" s="2">
        <f t="shared" si="0"/>
        <v>4423.21</v>
      </c>
      <c r="M30" s="2"/>
      <c r="N30" s="19">
        <f t="shared" si="1"/>
        <v>0</v>
      </c>
      <c r="O30" s="11"/>
      <c r="P30" s="2">
        <f>--136859.38</f>
        <v>136859.38</v>
      </c>
      <c r="Q30" s="2"/>
      <c r="R30" s="19"/>
      <c r="S30" s="2"/>
      <c r="T30" s="2"/>
      <c r="U30" s="2"/>
      <c r="V30" s="19"/>
      <c r="W30" s="2"/>
      <c r="X30" s="2">
        <f t="shared" si="2"/>
        <v>136859.38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--4745.38</f>
        <v>4745.38</v>
      </c>
      <c r="E31" s="2"/>
      <c r="F31" s="19"/>
      <c r="G31" s="2"/>
      <c r="H31" s="2"/>
      <c r="I31" s="2"/>
      <c r="J31" s="19"/>
      <c r="K31" s="2"/>
      <c r="L31" s="2">
        <f t="shared" si="0"/>
        <v>4745.38</v>
      </c>
      <c r="M31" s="2"/>
      <c r="N31" s="19">
        <f t="shared" si="1"/>
        <v>0</v>
      </c>
      <c r="O31" s="11"/>
      <c r="P31" s="2">
        <f>--36092.23</f>
        <v>36092.230000000003</v>
      </c>
      <c r="Q31" s="2"/>
      <c r="R31" s="19"/>
      <c r="S31" s="2"/>
      <c r="T31" s="2"/>
      <c r="U31" s="2"/>
      <c r="V31" s="19"/>
      <c r="W31" s="2"/>
      <c r="X31" s="2">
        <f t="shared" si="2"/>
        <v>36092.230000000003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--63044.9</f>
        <v>63044.9</v>
      </c>
      <c r="E32" s="2"/>
      <c r="F32" s="19"/>
      <c r="G32" s="2"/>
      <c r="H32" s="2"/>
      <c r="I32" s="2"/>
      <c r="J32" s="19"/>
      <c r="K32" s="2"/>
      <c r="L32" s="2">
        <f t="shared" si="0"/>
        <v>63044.9</v>
      </c>
      <c r="M32" s="2"/>
      <c r="N32" s="19">
        <f t="shared" si="1"/>
        <v>0</v>
      </c>
      <c r="O32" s="11"/>
      <c r="P32" s="2">
        <f>--207242.34</f>
        <v>207242.34</v>
      </c>
      <c r="Q32" s="2"/>
      <c r="R32" s="19"/>
      <c r="S32" s="2"/>
      <c r="T32" s="2"/>
      <c r="U32" s="2"/>
      <c r="V32" s="19"/>
      <c r="W32" s="2"/>
      <c r="X32" s="2">
        <f t="shared" si="2"/>
        <v>207242.34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--71.95</f>
        <v>71.95</v>
      </c>
      <c r="Q33" s="2"/>
      <c r="R33" s="19"/>
      <c r="S33" s="2"/>
      <c r="T33" s="2"/>
      <c r="U33" s="2"/>
      <c r="V33" s="19"/>
      <c r="W33" s="2"/>
      <c r="X33" s="2">
        <f t="shared" si="2"/>
        <v>71.95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--9.99</f>
        <v>9.99</v>
      </c>
      <c r="Q34" s="2"/>
      <c r="R34" s="19"/>
      <c r="S34" s="2"/>
      <c r="T34" s="2"/>
      <c r="U34" s="2"/>
      <c r="V34" s="19"/>
      <c r="W34" s="2"/>
      <c r="X34" s="2">
        <f t="shared" si="2"/>
        <v>9.99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"4095", " - ", "TAXABLE SALES-CUSTOMER SERVICE")</f>
        <v xml:space="preserve">          4095 - TAXABLE SALES-CUSTOMER SERVICE</v>
      </c>
      <c r="C35" s="11"/>
      <c r="D35" s="2">
        <f>--2119.46</f>
        <v>2119.46</v>
      </c>
      <c r="E35" s="2"/>
      <c r="F35" s="19"/>
      <c r="G35" s="2"/>
      <c r="H35" s="2"/>
      <c r="I35" s="2"/>
      <c r="J35" s="19"/>
      <c r="K35" s="2"/>
      <c r="L35" s="2">
        <f t="shared" si="0"/>
        <v>2119.46</v>
      </c>
      <c r="M35" s="2"/>
      <c r="N35" s="19">
        <f t="shared" si="1"/>
        <v>0</v>
      </c>
      <c r="O35" s="11"/>
      <c r="P35" s="2">
        <f>--3034.59</f>
        <v>3034.59</v>
      </c>
      <c r="Q35" s="2"/>
      <c r="R35" s="19"/>
      <c r="S35" s="2"/>
      <c r="T35" s="2"/>
      <c r="U35" s="2"/>
      <c r="V35" s="19"/>
      <c r="W35" s="2"/>
      <c r="X35" s="2">
        <f t="shared" si="2"/>
        <v>3034.59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-12385.33</f>
        <v>-12385.33</v>
      </c>
      <c r="E36" s="2"/>
      <c r="F36" s="19"/>
      <c r="G36" s="2"/>
      <c r="H36" s="2">
        <v>136244</v>
      </c>
      <c r="I36" s="2"/>
      <c r="J36" s="19"/>
      <c r="K36" s="2"/>
      <c r="L36" s="2">
        <f t="shared" si="0"/>
        <v>-148629.32999999999</v>
      </c>
      <c r="M36" s="2"/>
      <c r="N36" s="19">
        <f t="shared" si="1"/>
        <v>-1.0909055077654795</v>
      </c>
      <c r="O36" s="11"/>
      <c r="P36" s="2">
        <f>--273838.77</f>
        <v>273838.77</v>
      </c>
      <c r="Q36" s="2"/>
      <c r="R36" s="19"/>
      <c r="S36" s="2"/>
      <c r="T36" s="2">
        <v>767515</v>
      </c>
      <c r="U36" s="2"/>
      <c r="V36" s="19"/>
      <c r="W36" s="2"/>
      <c r="X36" s="2">
        <f t="shared" si="2"/>
        <v>-493676.23</v>
      </c>
      <c r="Y36" s="2"/>
      <c r="Z36" s="19">
        <f t="shared" si="3"/>
        <v>-0.64321378735269019</v>
      </c>
    </row>
    <row r="37" spans="1:26" s="24" customFormat="1" hidden="1" outlineLevel="1" x14ac:dyDescent="0.25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>--741.03</f>
        <v>741.03</v>
      </c>
      <c r="E37" s="2"/>
      <c r="F37" s="19"/>
      <c r="G37" s="2"/>
      <c r="H37" s="2"/>
      <c r="I37" s="2"/>
      <c r="J37" s="19"/>
      <c r="K37" s="2"/>
      <c r="L37" s="2">
        <f t="shared" si="0"/>
        <v>741.03</v>
      </c>
      <c r="M37" s="2"/>
      <c r="N37" s="19">
        <f t="shared" si="1"/>
        <v>0</v>
      </c>
      <c r="O37" s="11"/>
      <c r="P37" s="2">
        <f>--112796.74</f>
        <v>112796.74</v>
      </c>
      <c r="Q37" s="2"/>
      <c r="R37" s="19"/>
      <c r="S37" s="2"/>
      <c r="T37" s="2"/>
      <c r="U37" s="2"/>
      <c r="V37" s="19"/>
      <c r="W37" s="2"/>
      <c r="X37" s="2">
        <f t="shared" si="2"/>
        <v>112796.74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>--743.99</f>
        <v>743.99</v>
      </c>
      <c r="E38" s="2"/>
      <c r="F38" s="19"/>
      <c r="G38" s="2"/>
      <c r="H38" s="2"/>
      <c r="I38" s="2"/>
      <c r="J38" s="19"/>
      <c r="K38" s="2"/>
      <c r="L38" s="2">
        <f t="shared" si="0"/>
        <v>743.99</v>
      </c>
      <c r="M38" s="2"/>
      <c r="N38" s="19">
        <f t="shared" si="1"/>
        <v>0</v>
      </c>
      <c r="O38" s="11"/>
      <c r="P38" s="2">
        <f>--48703.42</f>
        <v>48703.42</v>
      </c>
      <c r="Q38" s="2"/>
      <c r="R38" s="19"/>
      <c r="S38" s="2"/>
      <c r="T38" s="2"/>
      <c r="U38" s="2"/>
      <c r="V38" s="19"/>
      <c r="W38" s="2"/>
      <c r="X38" s="2">
        <f t="shared" si="2"/>
        <v>48703.42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--1138.95</f>
        <v>1138.95</v>
      </c>
      <c r="Q39" s="2"/>
      <c r="R39" s="19"/>
      <c r="S39" s="2"/>
      <c r="T39" s="2"/>
      <c r="U39" s="2"/>
      <c r="V39" s="19"/>
      <c r="W39" s="2"/>
      <c r="X39" s="2">
        <f t="shared" si="2"/>
        <v>1138.95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>--3431.99</f>
        <v>3431.99</v>
      </c>
      <c r="E40" s="2"/>
      <c r="F40" s="19"/>
      <c r="G40" s="2"/>
      <c r="H40" s="2"/>
      <c r="I40" s="2"/>
      <c r="J40" s="19"/>
      <c r="K40" s="2"/>
      <c r="L40" s="2">
        <f t="shared" si="0"/>
        <v>3431.99</v>
      </c>
      <c r="M40" s="2"/>
      <c r="N40" s="19">
        <f t="shared" si="1"/>
        <v>0</v>
      </c>
      <c r="O40" s="11"/>
      <c r="P40" s="2">
        <f>--480403.17</f>
        <v>480403.17</v>
      </c>
      <c r="Q40" s="2"/>
      <c r="R40" s="19"/>
      <c r="S40" s="2"/>
      <c r="T40" s="2"/>
      <c r="U40" s="2"/>
      <c r="V40" s="19"/>
      <c r="W40" s="2"/>
      <c r="X40" s="2">
        <f t="shared" si="2"/>
        <v>480403.17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>--738</f>
        <v>738</v>
      </c>
      <c r="E41" s="2"/>
      <c r="F41" s="19"/>
      <c r="G41" s="2"/>
      <c r="H41" s="2"/>
      <c r="I41" s="2"/>
      <c r="J41" s="19"/>
      <c r="K41" s="2"/>
      <c r="L41" s="2">
        <f t="shared" si="0"/>
        <v>738</v>
      </c>
      <c r="M41" s="2"/>
      <c r="N41" s="19">
        <f t="shared" si="1"/>
        <v>0</v>
      </c>
      <c r="O41" s="11"/>
      <c r="P41" s="2">
        <f>--12127.25</f>
        <v>12127.25</v>
      </c>
      <c r="Q41" s="2"/>
      <c r="R41" s="19"/>
      <c r="S41" s="2"/>
      <c r="T41" s="2"/>
      <c r="U41" s="2"/>
      <c r="V41" s="19"/>
      <c r="W41" s="2"/>
      <c r="X41" s="2">
        <f t="shared" si="2"/>
        <v>12127.25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ref="D42:D43" si="6"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--771.73</f>
        <v>771.73</v>
      </c>
      <c r="Q42" s="2"/>
      <c r="R42" s="19"/>
      <c r="S42" s="2"/>
      <c r="T42" s="2"/>
      <c r="U42" s="2"/>
      <c r="V42" s="19"/>
      <c r="W42" s="2"/>
      <c r="X42" s="2">
        <f t="shared" si="2"/>
        <v>771.73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--52.68</f>
        <v>52.68</v>
      </c>
      <c r="Q43" s="2"/>
      <c r="R43" s="19"/>
      <c r="S43" s="2"/>
      <c r="T43" s="2"/>
      <c r="U43" s="2"/>
      <c r="V43" s="19"/>
      <c r="W43" s="2"/>
      <c r="X43" s="2">
        <f t="shared" si="2"/>
        <v>52.68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>--493.37</f>
        <v>493.37</v>
      </c>
      <c r="E44" s="2"/>
      <c r="F44" s="19"/>
      <c r="G44" s="2"/>
      <c r="H44" s="2"/>
      <c r="I44" s="2"/>
      <c r="J44" s="19"/>
      <c r="K44" s="2"/>
      <c r="L44" s="2">
        <f t="shared" si="0"/>
        <v>493.37</v>
      </c>
      <c r="M44" s="2"/>
      <c r="N44" s="19">
        <f t="shared" si="1"/>
        <v>0</v>
      </c>
      <c r="O44" s="11"/>
      <c r="P44" s="2">
        <f>--7100.68</f>
        <v>7100.68</v>
      </c>
      <c r="Q44" s="2"/>
      <c r="R44" s="19"/>
      <c r="S44" s="2"/>
      <c r="T44" s="2"/>
      <c r="U44" s="2"/>
      <c r="V44" s="19"/>
      <c r="W44" s="2"/>
      <c r="X44" s="2">
        <f t="shared" si="2"/>
        <v>7100.68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>--31.37</f>
        <v>31.37</v>
      </c>
      <c r="E45" s="2"/>
      <c r="F45" s="19"/>
      <c r="G45" s="2"/>
      <c r="H45" s="2"/>
      <c r="I45" s="2"/>
      <c r="J45" s="19"/>
      <c r="K45" s="2"/>
      <c r="L45" s="2">
        <f t="shared" si="0"/>
        <v>31.37</v>
      </c>
      <c r="M45" s="2"/>
      <c r="N45" s="19">
        <f t="shared" si="1"/>
        <v>0</v>
      </c>
      <c r="O45" s="11"/>
      <c r="P45" s="2">
        <f>--69.95</f>
        <v>69.95</v>
      </c>
      <c r="Q45" s="2"/>
      <c r="R45" s="19"/>
      <c r="S45" s="2"/>
      <c r="T45" s="2"/>
      <c r="U45" s="2"/>
      <c r="V45" s="19"/>
      <c r="W45" s="2"/>
      <c r="X45" s="2">
        <f t="shared" si="2"/>
        <v>69.95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>--975.93</f>
        <v>975.93</v>
      </c>
      <c r="E46" s="2"/>
      <c r="F46" s="19"/>
      <c r="G46" s="2"/>
      <c r="H46" s="2"/>
      <c r="I46" s="2"/>
      <c r="J46" s="19"/>
      <c r="K46" s="2"/>
      <c r="L46" s="2">
        <f t="shared" si="0"/>
        <v>975.93</v>
      </c>
      <c r="M46" s="2"/>
      <c r="N46" s="19">
        <f t="shared" si="1"/>
        <v>0</v>
      </c>
      <c r="O46" s="11"/>
      <c r="P46" s="2">
        <f>--11380.36</f>
        <v>11380.36</v>
      </c>
      <c r="Q46" s="2"/>
      <c r="R46" s="19"/>
      <c r="S46" s="2"/>
      <c r="T46" s="2"/>
      <c r="U46" s="2"/>
      <c r="V46" s="19"/>
      <c r="W46" s="2"/>
      <c r="X46" s="2">
        <f t="shared" si="2"/>
        <v>11380.36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ref="D47:D50" si="7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--2054.37</f>
        <v>2054.37</v>
      </c>
      <c r="Q47" s="2"/>
      <c r="R47" s="19"/>
      <c r="S47" s="2"/>
      <c r="T47" s="2"/>
      <c r="U47" s="2"/>
      <c r="V47" s="19"/>
      <c r="W47" s="2"/>
      <c r="X47" s="2">
        <f t="shared" si="2"/>
        <v>2054.37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7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--80.71</f>
        <v>80.709999999999994</v>
      </c>
      <c r="Q48" s="2"/>
      <c r="R48" s="19"/>
      <c r="S48" s="2"/>
      <c r="T48" s="2"/>
      <c r="U48" s="2"/>
      <c r="V48" s="19"/>
      <c r="W48" s="2"/>
      <c r="X48" s="2">
        <f t="shared" si="2"/>
        <v>80.709999999999994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7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--45.53</f>
        <v>45.53</v>
      </c>
      <c r="Q49" s="2"/>
      <c r="R49" s="19"/>
      <c r="S49" s="2"/>
      <c r="T49" s="2"/>
      <c r="U49" s="2"/>
      <c r="V49" s="19"/>
      <c r="W49" s="2"/>
      <c r="X49" s="2">
        <f t="shared" si="2"/>
        <v>45.53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7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--68.25</f>
        <v>68.25</v>
      </c>
      <c r="Q50" s="2"/>
      <c r="R50" s="19"/>
      <c r="S50" s="2"/>
      <c r="T50" s="2"/>
      <c r="U50" s="2"/>
      <c r="V50" s="19"/>
      <c r="W50" s="2"/>
      <c r="X50" s="2">
        <f t="shared" si="2"/>
        <v>68.25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>--23040.7</f>
        <v>23040.7</v>
      </c>
      <c r="E51" s="2"/>
      <c r="F51" s="19"/>
      <c r="G51" s="2"/>
      <c r="H51" s="2"/>
      <c r="I51" s="2"/>
      <c r="J51" s="19"/>
      <c r="K51" s="2"/>
      <c r="L51" s="2">
        <f t="shared" si="0"/>
        <v>23040.7</v>
      </c>
      <c r="M51" s="2"/>
      <c r="N51" s="19">
        <f t="shared" si="1"/>
        <v>0</v>
      </c>
      <c r="O51" s="11"/>
      <c r="P51" s="2">
        <f>--154792.39</f>
        <v>154792.39000000001</v>
      </c>
      <c r="Q51" s="2"/>
      <c r="R51" s="19"/>
      <c r="S51" s="2"/>
      <c r="T51" s="2"/>
      <c r="U51" s="2"/>
      <c r="V51" s="19"/>
      <c r="W51" s="2"/>
      <c r="X51" s="2">
        <f t="shared" si="2"/>
        <v>154792.39000000001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--27228.57</f>
        <v>27228.57</v>
      </c>
      <c r="E52" s="2"/>
      <c r="F52" s="19"/>
      <c r="G52" s="2"/>
      <c r="H52" s="2"/>
      <c r="I52" s="2"/>
      <c r="J52" s="19"/>
      <c r="K52" s="2"/>
      <c r="L52" s="2">
        <f t="shared" si="0"/>
        <v>27228.57</v>
      </c>
      <c r="M52" s="2"/>
      <c r="N52" s="19">
        <f t="shared" si="1"/>
        <v>0</v>
      </c>
      <c r="O52" s="11"/>
      <c r="P52" s="2">
        <f>--36796.81</f>
        <v>36796.81</v>
      </c>
      <c r="Q52" s="2"/>
      <c r="R52" s="19"/>
      <c r="S52" s="2"/>
      <c r="T52" s="2"/>
      <c r="U52" s="2"/>
      <c r="V52" s="19"/>
      <c r="W52" s="2"/>
      <c r="X52" s="2">
        <f t="shared" si="2"/>
        <v>36796.81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>--306.73</f>
        <v>306.73</v>
      </c>
      <c r="E53" s="2"/>
      <c r="F53" s="19"/>
      <c r="G53" s="2"/>
      <c r="H53" s="2"/>
      <c r="I53" s="2"/>
      <c r="J53" s="19"/>
      <c r="K53" s="2"/>
      <c r="L53" s="2">
        <f t="shared" si="0"/>
        <v>306.73</v>
      </c>
      <c r="M53" s="2"/>
      <c r="N53" s="19">
        <f t="shared" si="1"/>
        <v>0</v>
      </c>
      <c r="O53" s="11"/>
      <c r="P53" s="2">
        <f>--2588.1</f>
        <v>2588.1</v>
      </c>
      <c r="Q53" s="2"/>
      <c r="R53" s="19"/>
      <c r="S53" s="2"/>
      <c r="T53" s="2"/>
      <c r="U53" s="2"/>
      <c r="V53" s="19"/>
      <c r="W53" s="2"/>
      <c r="X53" s="2">
        <f t="shared" si="2"/>
        <v>2588.1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>--49.97</f>
        <v>49.97</v>
      </c>
      <c r="E54" s="2"/>
      <c r="F54" s="19"/>
      <c r="G54" s="2"/>
      <c r="H54" s="2"/>
      <c r="I54" s="2"/>
      <c r="J54" s="19"/>
      <c r="K54" s="2"/>
      <c r="L54" s="2">
        <f t="shared" si="0"/>
        <v>49.97</v>
      </c>
      <c r="M54" s="2"/>
      <c r="N54" s="19">
        <f t="shared" si="1"/>
        <v>0</v>
      </c>
      <c r="O54" s="11"/>
      <c r="P54" s="2">
        <f>--2431.45</f>
        <v>2431.4499999999998</v>
      </c>
      <c r="Q54" s="2"/>
      <c r="R54" s="19"/>
      <c r="S54" s="2"/>
      <c r="T54" s="2"/>
      <c r="U54" s="2"/>
      <c r="V54" s="19"/>
      <c r="W54" s="2"/>
      <c r="X54" s="2">
        <f t="shared" si="2"/>
        <v>2431.4499999999998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>--29.85</f>
        <v>29.85</v>
      </c>
      <c r="E55" s="2"/>
      <c r="F55" s="19"/>
      <c r="G55" s="2"/>
      <c r="H55" s="2"/>
      <c r="I55" s="2"/>
      <c r="J55" s="19"/>
      <c r="K55" s="2"/>
      <c r="L55" s="2">
        <f t="shared" si="0"/>
        <v>29.85</v>
      </c>
      <c r="M55" s="2"/>
      <c r="N55" s="19">
        <f t="shared" si="1"/>
        <v>0</v>
      </c>
      <c r="O55" s="11"/>
      <c r="P55" s="2">
        <f>--709.1</f>
        <v>709.1</v>
      </c>
      <c r="Q55" s="2"/>
      <c r="R55" s="19"/>
      <c r="S55" s="2"/>
      <c r="T55" s="2"/>
      <c r="U55" s="2"/>
      <c r="V55" s="19"/>
      <c r="W55" s="2"/>
      <c r="X55" s="2">
        <f t="shared" si="2"/>
        <v>709.1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>--20350.8</f>
        <v>20350.8</v>
      </c>
      <c r="E56" s="2"/>
      <c r="F56" s="19"/>
      <c r="G56" s="2"/>
      <c r="H56" s="2"/>
      <c r="I56" s="2"/>
      <c r="J56" s="19"/>
      <c r="K56" s="2"/>
      <c r="L56" s="2">
        <f t="shared" si="0"/>
        <v>20350.8</v>
      </c>
      <c r="M56" s="2"/>
      <c r="N56" s="19">
        <f t="shared" si="1"/>
        <v>0</v>
      </c>
      <c r="O56" s="11"/>
      <c r="P56" s="2">
        <f>--74066.89</f>
        <v>74066.89</v>
      </c>
      <c r="Q56" s="2"/>
      <c r="R56" s="19"/>
      <c r="S56" s="2"/>
      <c r="T56" s="2"/>
      <c r="U56" s="2"/>
      <c r="V56" s="19"/>
      <c r="W56" s="2"/>
      <c r="X56" s="2">
        <f t="shared" si="2"/>
        <v>74066.89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--30.2</f>
        <v>30.2</v>
      </c>
      <c r="E57" s="2"/>
      <c r="F57" s="19"/>
      <c r="G57" s="2"/>
      <c r="H57" s="2"/>
      <c r="I57" s="2"/>
      <c r="J57" s="19"/>
      <c r="K57" s="2"/>
      <c r="L57" s="2">
        <f t="shared" si="0"/>
        <v>30.2</v>
      </c>
      <c r="M57" s="2"/>
      <c r="N57" s="19">
        <f t="shared" si="1"/>
        <v>0</v>
      </c>
      <c r="O57" s="11"/>
      <c r="P57" s="2">
        <f>--329.3</f>
        <v>329.3</v>
      </c>
      <c r="Q57" s="2"/>
      <c r="R57" s="19"/>
      <c r="S57" s="2"/>
      <c r="T57" s="2"/>
      <c r="U57" s="2"/>
      <c r="V57" s="19"/>
      <c r="W57" s="2"/>
      <c r="X57" s="2">
        <f t="shared" si="2"/>
        <v>329.3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>--11</f>
        <v>11</v>
      </c>
      <c r="E58" s="2"/>
      <c r="F58" s="19"/>
      <c r="G58" s="2"/>
      <c r="H58" s="2"/>
      <c r="I58" s="2"/>
      <c r="J58" s="19"/>
      <c r="K58" s="2"/>
      <c r="L58" s="2">
        <f t="shared" si="0"/>
        <v>11</v>
      </c>
      <c r="M58" s="2"/>
      <c r="N58" s="19">
        <f t="shared" si="1"/>
        <v>0</v>
      </c>
      <c r="O58" s="11"/>
      <c r="P58" s="2">
        <f>--154.5</f>
        <v>154.5</v>
      </c>
      <c r="Q58" s="2"/>
      <c r="R58" s="19"/>
      <c r="S58" s="2"/>
      <c r="T58" s="2"/>
      <c r="U58" s="2"/>
      <c r="V58" s="19"/>
      <c r="W58" s="2"/>
      <c r="X58" s="2">
        <f t="shared" si="2"/>
        <v>154.5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>--51.9</f>
        <v>51.9</v>
      </c>
      <c r="E59" s="2"/>
      <c r="F59" s="19"/>
      <c r="G59" s="2"/>
      <c r="H59" s="2"/>
      <c r="I59" s="2"/>
      <c r="J59" s="19"/>
      <c r="K59" s="2"/>
      <c r="L59" s="2">
        <f t="shared" si="0"/>
        <v>51.9</v>
      </c>
      <c r="M59" s="2"/>
      <c r="N59" s="19">
        <f t="shared" si="1"/>
        <v>0</v>
      </c>
      <c r="O59" s="11"/>
      <c r="P59" s="2">
        <f>--396.45</f>
        <v>396.45</v>
      </c>
      <c r="Q59" s="2"/>
      <c r="R59" s="19"/>
      <c r="S59" s="2"/>
      <c r="T59" s="2"/>
      <c r="U59" s="2"/>
      <c r="V59" s="19"/>
      <c r="W59" s="2"/>
      <c r="X59" s="2">
        <f t="shared" si="2"/>
        <v>396.45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"4201", " - ", "SALES RETURN TAXABLE-NEW TEXT")</f>
        <v xml:space="preserve">          4201 - SALES RETURN TAXABLE-NEW TEXT</v>
      </c>
      <c r="C60" s="11"/>
      <c r="D60" s="2">
        <f>-376.85</f>
        <v>-376.85</v>
      </c>
      <c r="E60" s="2"/>
      <c r="F60" s="19"/>
      <c r="G60" s="2"/>
      <c r="H60" s="2"/>
      <c r="I60" s="2"/>
      <c r="J60" s="19"/>
      <c r="K60" s="2"/>
      <c r="L60" s="2">
        <f t="shared" si="0"/>
        <v>-376.85</v>
      </c>
      <c r="M60" s="2"/>
      <c r="N60" s="19">
        <f t="shared" si="1"/>
        <v>0</v>
      </c>
      <c r="O60" s="11"/>
      <c r="P60" s="2">
        <f>-51638.02</f>
        <v>-51638.02</v>
      </c>
      <c r="Q60" s="2"/>
      <c r="R60" s="19"/>
      <c r="S60" s="2"/>
      <c r="T60" s="2"/>
      <c r="U60" s="2"/>
      <c r="V60" s="19"/>
      <c r="W60" s="2"/>
      <c r="X60" s="2">
        <f t="shared" si="2"/>
        <v>-51638.02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"4202", " - ", "SALES RETURN TAXABLE-USED TEXT")</f>
        <v xml:space="preserve">          4202 - SALES RETURN TAXABLE-USED TEXT</v>
      </c>
      <c r="C61" s="11"/>
      <c r="D61" s="2">
        <f>-206.95</f>
        <v>-206.95</v>
      </c>
      <c r="E61" s="2"/>
      <c r="F61" s="19"/>
      <c r="G61" s="2"/>
      <c r="H61" s="2"/>
      <c r="I61" s="2"/>
      <c r="J61" s="19"/>
      <c r="K61" s="2"/>
      <c r="L61" s="2">
        <f t="shared" si="0"/>
        <v>-206.95</v>
      </c>
      <c r="M61" s="2"/>
      <c r="N61" s="19">
        <f t="shared" si="1"/>
        <v>0</v>
      </c>
      <c r="O61" s="11"/>
      <c r="P61" s="2">
        <f>-20096.26</f>
        <v>-20096.259999999998</v>
      </c>
      <c r="Q61" s="2"/>
      <c r="R61" s="19"/>
      <c r="S61" s="2"/>
      <c r="T61" s="2"/>
      <c r="U61" s="2"/>
      <c r="V61" s="19"/>
      <c r="W61" s="2"/>
      <c r="X61" s="2">
        <f t="shared" si="2"/>
        <v>-20096.259999999998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"4204", " - ", "SALES RETURN TAXABLE-DIGITAL T")</f>
        <v xml:space="preserve">          4204 - SALES RETURN TAXABLE-DIGITAL T</v>
      </c>
      <c r="C62" s="11"/>
      <c r="D62" s="2">
        <f t="shared" ref="D62:D65" si="8"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-1763.1</f>
        <v>-1763.1</v>
      </c>
      <c r="Q62" s="2"/>
      <c r="R62" s="19"/>
      <c r="S62" s="2"/>
      <c r="T62" s="2"/>
      <c r="U62" s="2"/>
      <c r="V62" s="19"/>
      <c r="W62" s="2"/>
      <c r="X62" s="2">
        <f t="shared" si="2"/>
        <v>-1763.1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"4213", " - ", "NON-TAXABLE SALES-TRADE BOOKS")</f>
        <v xml:space="preserve">          4213 - NON-TAXABLE SALES-TRADE BOOKS</v>
      </c>
      <c r="C63" s="11"/>
      <c r="D63" s="2">
        <f t="shared" si="8"/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-69.93</f>
        <v>-69.930000000000007</v>
      </c>
      <c r="Q63" s="2"/>
      <c r="R63" s="19"/>
      <c r="S63" s="2"/>
      <c r="T63" s="2"/>
      <c r="U63" s="2"/>
      <c r="V63" s="19"/>
      <c r="W63" s="2"/>
      <c r="X63" s="2">
        <f t="shared" si="2"/>
        <v>-69.930000000000007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"4218", " - ", "SALES RETURN TAXABLE-STUDY GUI")</f>
        <v xml:space="preserve">          4218 - SALES RETURN TAXABLE-STUDY GUI</v>
      </c>
      <c r="C64" s="11"/>
      <c r="D64" s="2">
        <f t="shared" si="8"/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-5.21</f>
        <v>-5.21</v>
      </c>
      <c r="Q64" s="2"/>
      <c r="R64" s="19"/>
      <c r="S64" s="2"/>
      <c r="T64" s="2"/>
      <c r="U64" s="2"/>
      <c r="V64" s="19"/>
      <c r="W64" s="2"/>
      <c r="X64" s="2">
        <f t="shared" si="2"/>
        <v>-5.21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"4226", " - ", "SALES RETURN TAXABLE-WRITING I")</f>
        <v xml:space="preserve">          4226 - SALES RETURN TAXABLE-WRITING I</v>
      </c>
      <c r="C65" s="11"/>
      <c r="D65" s="2">
        <f t="shared" si="8"/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-34.23</f>
        <v>-34.229999999999997</v>
      </c>
      <c r="Q65" s="2"/>
      <c r="R65" s="19"/>
      <c r="S65" s="2"/>
      <c r="T65" s="2"/>
      <c r="U65" s="2"/>
      <c r="V65" s="19"/>
      <c r="W65" s="2"/>
      <c r="X65" s="2">
        <f t="shared" si="2"/>
        <v>-34.229999999999997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"4227", " - ", "SALES RETURN TAXABLE-SCHOOL SU")</f>
        <v xml:space="preserve">          4227 - SALES RETURN TAXABLE-SCHOOL SU</v>
      </c>
      <c r="C66" s="11"/>
      <c r="D66" s="2">
        <f>-500.54</f>
        <v>-500.54</v>
      </c>
      <c r="E66" s="2"/>
      <c r="F66" s="19"/>
      <c r="G66" s="2"/>
      <c r="H66" s="2"/>
      <c r="I66" s="2"/>
      <c r="J66" s="19"/>
      <c r="K66" s="2"/>
      <c r="L66" s="2">
        <f t="shared" si="0"/>
        <v>-500.54</v>
      </c>
      <c r="M66" s="2"/>
      <c r="N66" s="19">
        <f t="shared" si="1"/>
        <v>0</v>
      </c>
      <c r="O66" s="11"/>
      <c r="P66" s="2">
        <f>-1346.66</f>
        <v>-1346.66</v>
      </c>
      <c r="Q66" s="2"/>
      <c r="R66" s="19"/>
      <c r="S66" s="2"/>
      <c r="T66" s="2"/>
      <c r="U66" s="2"/>
      <c r="V66" s="19"/>
      <c r="W66" s="2"/>
      <c r="X66" s="2">
        <f t="shared" si="2"/>
        <v>-1346.66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"4228", " - ", "SALES RETURN TAXABLE-ART/TECH")</f>
        <v xml:space="preserve">          4228 - SALES RETURN TAXABLE-ART/TECH</v>
      </c>
      <c r="C67" s="11"/>
      <c r="D67" s="2">
        <f>-136.11</f>
        <v>-136.11000000000001</v>
      </c>
      <c r="E67" s="2"/>
      <c r="F67" s="19"/>
      <c r="G67" s="2"/>
      <c r="H67" s="2"/>
      <c r="I67" s="2"/>
      <c r="J67" s="19"/>
      <c r="K67" s="2"/>
      <c r="L67" s="2">
        <f t="shared" si="0"/>
        <v>-136.11000000000001</v>
      </c>
      <c r="M67" s="2"/>
      <c r="N67" s="19">
        <f t="shared" si="1"/>
        <v>0</v>
      </c>
      <c r="O67" s="11"/>
      <c r="P67" s="2">
        <f>-12973.73</f>
        <v>-12973.73</v>
      </c>
      <c r="Q67" s="2"/>
      <c r="R67" s="19"/>
      <c r="S67" s="2"/>
      <c r="T67" s="2"/>
      <c r="U67" s="2"/>
      <c r="V67" s="19"/>
      <c r="W67" s="2"/>
      <c r="X67" s="2">
        <f t="shared" si="2"/>
        <v>-12973.73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"4240", " - ", "SALES RETURN TAXABLE-LOGO CLOT")</f>
        <v xml:space="preserve">          4240 - SALES RETURN TAXABLE-LOGO CLOT</v>
      </c>
      <c r="C68" s="11"/>
      <c r="D68" s="2">
        <f>-5611.92</f>
        <v>-5611.92</v>
      </c>
      <c r="E68" s="2"/>
      <c r="F68" s="19"/>
      <c r="G68" s="2"/>
      <c r="H68" s="2"/>
      <c r="I68" s="2"/>
      <c r="J68" s="19"/>
      <c r="K68" s="2"/>
      <c r="L68" s="2">
        <f t="shared" si="0"/>
        <v>-5611.92</v>
      </c>
      <c r="M68" s="2"/>
      <c r="N68" s="19">
        <f t="shared" si="1"/>
        <v>0</v>
      </c>
      <c r="O68" s="11"/>
      <c r="P68" s="2">
        <f>-40666.27</f>
        <v>-40666.269999999997</v>
      </c>
      <c r="Q68" s="2"/>
      <c r="R68" s="19"/>
      <c r="S68" s="2"/>
      <c r="T68" s="2"/>
      <c r="U68" s="2"/>
      <c r="V68" s="19"/>
      <c r="W68" s="2"/>
      <c r="X68" s="2">
        <f t="shared" si="2"/>
        <v>-40666.269999999997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"4241", " - ", "SALES RETURN TAXABLE-LOGO GIFT")</f>
        <v xml:space="preserve">          4241 - SALES RETURN TAXABLE-LOGO GIFT</v>
      </c>
      <c r="C69" s="11"/>
      <c r="D69" s="2">
        <f>-5656.91</f>
        <v>-5656.91</v>
      </c>
      <c r="E69" s="2"/>
      <c r="F69" s="19"/>
      <c r="G69" s="2"/>
      <c r="H69" s="2"/>
      <c r="I69" s="2"/>
      <c r="J69" s="19"/>
      <c r="K69" s="2"/>
      <c r="L69" s="2">
        <f t="shared" si="0"/>
        <v>-5656.91</v>
      </c>
      <c r="M69" s="2"/>
      <c r="N69" s="19">
        <f t="shared" si="1"/>
        <v>0</v>
      </c>
      <c r="O69" s="11"/>
      <c r="P69" s="2">
        <f>-12175.25</f>
        <v>-12175.25</v>
      </c>
      <c r="Q69" s="2"/>
      <c r="R69" s="19"/>
      <c r="S69" s="2"/>
      <c r="T69" s="2"/>
      <c r="U69" s="2"/>
      <c r="V69" s="19"/>
      <c r="W69" s="2"/>
      <c r="X69" s="2">
        <f t="shared" si="2"/>
        <v>-12175.25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"4242", " - ", "SALES RETURN TAXABLE-EVERYDAY")</f>
        <v xml:space="preserve">          4242 - SALES RETURN TAXABLE-EVERYDAY</v>
      </c>
      <c r="C70" s="11"/>
      <c r="D70" s="2">
        <f>-332.27</f>
        <v>-332.27</v>
      </c>
      <c r="E70" s="2"/>
      <c r="F70" s="19"/>
      <c r="G70" s="2"/>
      <c r="H70" s="2"/>
      <c r="I70" s="2"/>
      <c r="J70" s="19"/>
      <c r="K70" s="2"/>
      <c r="L70" s="2">
        <f t="shared" si="0"/>
        <v>-332.27</v>
      </c>
      <c r="M70" s="2"/>
      <c r="N70" s="19">
        <f t="shared" si="1"/>
        <v>0</v>
      </c>
      <c r="O70" s="11"/>
      <c r="P70" s="2">
        <f>-2636.09</f>
        <v>-2636.09</v>
      </c>
      <c r="Q70" s="2"/>
      <c r="R70" s="19"/>
      <c r="S70" s="2"/>
      <c r="T70" s="2"/>
      <c r="U70" s="2"/>
      <c r="V70" s="19"/>
      <c r="W70" s="2"/>
      <c r="X70" s="2">
        <f t="shared" si="2"/>
        <v>-2636.09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"4243", " - ", "SALES RETURN TAXABLE-CARDS")</f>
        <v xml:space="preserve">          4243 - SALES RETURN TAXABLE-CARDS</v>
      </c>
      <c r="C71" s="11"/>
      <c r="D71" s="2">
        <f>-199.86</f>
        <v>-199.86</v>
      </c>
      <c r="E71" s="2"/>
      <c r="F71" s="19"/>
      <c r="G71" s="2"/>
      <c r="H71" s="2"/>
      <c r="I71" s="2"/>
      <c r="J71" s="19"/>
      <c r="K71" s="2"/>
      <c r="L71" s="2">
        <f t="shared" si="0"/>
        <v>-199.86</v>
      </c>
      <c r="M71" s="2"/>
      <c r="N71" s="19">
        <f t="shared" si="1"/>
        <v>0</v>
      </c>
      <c r="O71" s="11"/>
      <c r="P71" s="2">
        <f>-6142.09</f>
        <v>-6142.09</v>
      </c>
      <c r="Q71" s="2"/>
      <c r="R71" s="19"/>
      <c r="S71" s="2"/>
      <c r="T71" s="2"/>
      <c r="U71" s="2"/>
      <c r="V71" s="19"/>
      <c r="W71" s="2"/>
      <c r="X71" s="2">
        <f t="shared" si="2"/>
        <v>-6142.09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"4244", " - ", "SALES RETURN TAXABLE-ACCESSORI")</f>
        <v xml:space="preserve">          4244 - SALES RETURN TAXABLE-ACCESSORI</v>
      </c>
      <c r="C72" s="11"/>
      <c r="D72" s="2">
        <f>-8.24</f>
        <v>-8.24</v>
      </c>
      <c r="E72" s="2"/>
      <c r="F72" s="19"/>
      <c r="G72" s="2"/>
      <c r="H72" s="2"/>
      <c r="I72" s="2"/>
      <c r="J72" s="19"/>
      <c r="K72" s="2"/>
      <c r="L72" s="2">
        <f t="shared" si="0"/>
        <v>-8.24</v>
      </c>
      <c r="M72" s="2"/>
      <c r="N72" s="19">
        <f t="shared" si="1"/>
        <v>0</v>
      </c>
      <c r="O72" s="11"/>
      <c r="P72" s="2">
        <f>-1243.5</f>
        <v>-1243.5</v>
      </c>
      <c r="Q72" s="2"/>
      <c r="R72" s="19"/>
      <c r="S72" s="2"/>
      <c r="T72" s="2"/>
      <c r="U72" s="2"/>
      <c r="V72" s="19"/>
      <c r="W72" s="2"/>
      <c r="X72" s="2">
        <f t="shared" si="2"/>
        <v>-1243.5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"4245", " - ", "SALES RETURN TAXABLE-SPECIAL O")</f>
        <v xml:space="preserve">          4245 - SALES RETURN TAXABLE-SPECIAL O</v>
      </c>
      <c r="C73" s="11"/>
      <c r="D73" s="2">
        <f>-4071.14</f>
        <v>-4071.14</v>
      </c>
      <c r="E73" s="2"/>
      <c r="F73" s="19"/>
      <c r="G73" s="2"/>
      <c r="H73" s="2"/>
      <c r="I73" s="2"/>
      <c r="J73" s="19"/>
      <c r="K73" s="2"/>
      <c r="L73" s="2">
        <f t="shared" si="0"/>
        <v>-4071.14</v>
      </c>
      <c r="M73" s="2"/>
      <c r="N73" s="19">
        <f t="shared" si="1"/>
        <v>0</v>
      </c>
      <c r="O73" s="11"/>
      <c r="P73" s="2">
        <f>-15424.73</f>
        <v>-15424.73</v>
      </c>
      <c r="Q73" s="2"/>
      <c r="R73" s="19"/>
      <c r="S73" s="2"/>
      <c r="T73" s="2"/>
      <c r="U73" s="2"/>
      <c r="V73" s="19"/>
      <c r="W73" s="2"/>
      <c r="X73" s="2">
        <f t="shared" si="2"/>
        <v>-15424.73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>-225.91</f>
        <v>-225.91</v>
      </c>
      <c r="E74" s="2"/>
      <c r="F74" s="19"/>
      <c r="G74" s="2"/>
      <c r="H74" s="2"/>
      <c r="I74" s="2"/>
      <c r="J74" s="19"/>
      <c r="K74" s="2"/>
      <c r="L74" s="2">
        <f t="shared" si="0"/>
        <v>-225.91</v>
      </c>
      <c r="M74" s="2"/>
      <c r="N74" s="19">
        <f t="shared" si="1"/>
        <v>0</v>
      </c>
      <c r="O74" s="11"/>
      <c r="P74" s="2">
        <f>-3463.2</f>
        <v>-3463.2</v>
      </c>
      <c r="Q74" s="2"/>
      <c r="R74" s="19"/>
      <c r="S74" s="2"/>
      <c r="T74" s="2"/>
      <c r="U74" s="2"/>
      <c r="V74" s="19"/>
      <c r="W74" s="2"/>
      <c r="X74" s="2">
        <f t="shared" si="2"/>
        <v>-3463.2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>-98.97</f>
        <v>-98.97</v>
      </c>
      <c r="E75" s="2"/>
      <c r="F75" s="19"/>
      <c r="G75" s="2"/>
      <c r="H75" s="2"/>
      <c r="I75" s="2"/>
      <c r="J75" s="19"/>
      <c r="K75" s="2"/>
      <c r="L75" s="2">
        <f t="shared" si="0"/>
        <v>-98.97</v>
      </c>
      <c r="M75" s="2"/>
      <c r="N75" s="19">
        <f t="shared" si="1"/>
        <v>0</v>
      </c>
      <c r="O75" s="11"/>
      <c r="P75" s="2">
        <f>-2443.32</f>
        <v>-2443.3200000000002</v>
      </c>
      <c r="Q75" s="2"/>
      <c r="R75" s="19"/>
      <c r="S75" s="2"/>
      <c r="T75" s="2"/>
      <c r="U75" s="2"/>
      <c r="V75" s="19"/>
      <c r="W75" s="2"/>
      <c r="X75" s="2">
        <f t="shared" si="2"/>
        <v>-2443.3200000000002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-27543.76</f>
        <v>-27543.759999999998</v>
      </c>
      <c r="Q76" s="2"/>
      <c r="R76" s="19"/>
      <c r="S76" s="2"/>
      <c r="T76" s="2"/>
      <c r="U76" s="2"/>
      <c r="V76" s="19"/>
      <c r="W76" s="2"/>
      <c r="X76" s="2">
        <f t="shared" si="2"/>
        <v>-27543.759999999998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"4340", " - ", "SALES RETURN NON TAXABLE-LOGO")</f>
        <v xml:space="preserve">          4340 - SALES RETURN NON TAXABLE-LOGO</v>
      </c>
      <c r="C77" s="11"/>
      <c r="D77" s="2">
        <f>-664.13</f>
        <v>-664.13</v>
      </c>
      <c r="E77" s="2"/>
      <c r="F77" s="19"/>
      <c r="G77" s="2"/>
      <c r="H77" s="2"/>
      <c r="I77" s="2"/>
      <c r="J77" s="19"/>
      <c r="K77" s="2"/>
      <c r="L77" s="2">
        <f t="shared" si="0"/>
        <v>-664.13</v>
      </c>
      <c r="M77" s="2"/>
      <c r="N77" s="19">
        <f t="shared" si="1"/>
        <v>0</v>
      </c>
      <c r="O77" s="11"/>
      <c r="P77" s="2">
        <f>-3307.52</f>
        <v>-3307.52</v>
      </c>
      <c r="Q77" s="2"/>
      <c r="R77" s="19"/>
      <c r="S77" s="2"/>
      <c r="T77" s="2"/>
      <c r="U77" s="2"/>
      <c r="V77" s="19"/>
      <c r="W77" s="2"/>
      <c r="X77" s="2">
        <f t="shared" si="2"/>
        <v>-3307.52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"4341", " - ", "SALES RETURN NON TAXABLE-LOGO")</f>
        <v xml:space="preserve">          4341 - SALES RETURN NON TAXABLE-LOGO</v>
      </c>
      <c r="C78" s="11"/>
      <c r="D78" s="2">
        <f>-9.9</f>
        <v>-9.9</v>
      </c>
      <c r="E78" s="2"/>
      <c r="F78" s="19"/>
      <c r="G78" s="2"/>
      <c r="H78" s="2"/>
      <c r="I78" s="2"/>
      <c r="J78" s="19"/>
      <c r="K78" s="2"/>
      <c r="L78" s="2">
        <f t="shared" si="0"/>
        <v>-9.9</v>
      </c>
      <c r="M78" s="2"/>
      <c r="N78" s="19">
        <f t="shared" si="1"/>
        <v>0</v>
      </c>
      <c r="O78" s="11"/>
      <c r="P78" s="2">
        <f>-402.44</f>
        <v>-402.44</v>
      </c>
      <c r="Q78" s="2"/>
      <c r="R78" s="19"/>
      <c r="S78" s="2"/>
      <c r="T78" s="2"/>
      <c r="U78" s="2"/>
      <c r="V78" s="19"/>
      <c r="W78" s="2"/>
      <c r="X78" s="2">
        <f t="shared" si="2"/>
        <v>-402.44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"4342", " - ", "SALES RETURN NON TAXABLE-EVERY")</f>
        <v xml:space="preserve">          4342 - SALES RETURN NON TAXABLE-EVERY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-118.7</f>
        <v>-118.7</v>
      </c>
      <c r="Q79" s="2"/>
      <c r="R79" s="19"/>
      <c r="S79" s="2"/>
      <c r="T79" s="2"/>
      <c r="U79" s="2"/>
      <c r="V79" s="19"/>
      <c r="W79" s="2"/>
      <c r="X79" s="2">
        <f t="shared" si="2"/>
        <v>-118.7</v>
      </c>
      <c r="Y79" s="2"/>
      <c r="Z79" s="19">
        <f t="shared" si="3"/>
        <v>0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collapsed="1" x14ac:dyDescent="0.25">
      <c r="A81" s="10"/>
      <c r="B81" s="29" t="s">
        <v>257</v>
      </c>
      <c r="C81" s="10"/>
      <c r="D81" s="4">
        <f>SUM(OSRRefD16x_0)</f>
        <v>223382.47</v>
      </c>
      <c r="E81" s="4"/>
      <c r="F81" s="12">
        <f t="shared" ref="F81:F122" si="9">IF(D$12=0,0,D81/D$12)</f>
        <v>0.50940306661451207</v>
      </c>
      <c r="G81" s="4"/>
      <c r="H81" s="4">
        <f>SUM(OSRRefH16x_0)</f>
        <v>247685</v>
      </c>
      <c r="I81" s="4"/>
      <c r="J81" s="12">
        <f t="shared" ref="J81:J122" si="10">IF(H$12=0,0,H81/H$12)</f>
        <v>0.43801383974124319</v>
      </c>
      <c r="K81" s="4"/>
      <c r="L81" s="4">
        <f t="shared" ref="L81:L122" si="11">+D81-H81</f>
        <v>-24302.53</v>
      </c>
      <c r="M81" s="4"/>
      <c r="N81" s="12">
        <f t="shared" ref="N81:N122" si="12">IF(H81=0,0,L81/H81)</f>
        <v>-9.8118699154167585E-2</v>
      </c>
      <c r="O81" s="10"/>
      <c r="P81" s="4">
        <f>SUM(OSRRefP16x_0)</f>
        <v>2972577.5900000008</v>
      </c>
      <c r="Q81" s="4"/>
      <c r="R81" s="12">
        <f t="shared" ref="R81:R122" si="13">IF(P$12=0,0,P81/P$12)</f>
        <v>0.63172240878662766</v>
      </c>
      <c r="S81" s="4"/>
      <c r="T81" s="4">
        <f>SUM(OSRRefT16x_0)</f>
        <v>5041858</v>
      </c>
      <c r="U81" s="4"/>
      <c r="V81" s="12">
        <f t="shared" ref="V81:V122" si="14">IF(T$12=0,0,T81/T$12)</f>
        <v>0.5765272914803744</v>
      </c>
      <c r="W81" s="4"/>
      <c r="X81" s="4">
        <f t="shared" ref="X81:X122" si="15">+P81-T81</f>
        <v>-2069280.4099999992</v>
      </c>
      <c r="Y81" s="4"/>
      <c r="Z81" s="12">
        <f t="shared" ref="Z81:Z122" si="16">IF(T81=0,0,X81/T81)</f>
        <v>-0.41042020818515701</v>
      </c>
    </row>
    <row r="82" spans="1:26" s="24" customFormat="1" hidden="1" outlineLevel="1" x14ac:dyDescent="0.25">
      <c r="A82" s="44"/>
      <c r="B82" s="11" t="str">
        <f>CONCATENATE("          ", "5000", " - ", "PURCHASES @ COST")</f>
        <v xml:space="preserve">          5000 - PURCHASES @ COST</v>
      </c>
      <c r="C82" s="11"/>
      <c r="D82" s="2"/>
      <c r="E82" s="2"/>
      <c r="F82" s="19">
        <f t="shared" si="9"/>
        <v>0</v>
      </c>
      <c r="G82" s="2"/>
      <c r="H82" s="2">
        <v>247685</v>
      </c>
      <c r="I82" s="2"/>
      <c r="J82" s="19">
        <f t="shared" si="10"/>
        <v>0.43801383974124319</v>
      </c>
      <c r="K82" s="2"/>
      <c r="L82" s="2">
        <f t="shared" si="11"/>
        <v>-247685</v>
      </c>
      <c r="M82" s="2"/>
      <c r="N82" s="19">
        <f t="shared" si="12"/>
        <v>-1</v>
      </c>
      <c r="O82" s="11"/>
      <c r="P82" s="2">
        <v>0</v>
      </c>
      <c r="Q82" s="2"/>
      <c r="R82" s="19">
        <f t="shared" si="13"/>
        <v>0</v>
      </c>
      <c r="S82" s="2"/>
      <c r="T82" s="2">
        <v>5041858</v>
      </c>
      <c r="U82" s="2"/>
      <c r="V82" s="19">
        <f t="shared" si="14"/>
        <v>0.5765272914803744</v>
      </c>
      <c r="W82" s="2"/>
      <c r="X82" s="2">
        <f t="shared" si="15"/>
        <v>-5041858</v>
      </c>
      <c r="Y82" s="2"/>
      <c r="Z82" s="19">
        <f t="shared" si="16"/>
        <v>-1</v>
      </c>
    </row>
    <row r="83" spans="1:26" s="24" customFormat="1" hidden="1" outlineLevel="1" x14ac:dyDescent="0.25">
      <c r="A83" s="44"/>
      <c r="B83" s="11" t="str">
        <f>CONCATENATE("          ", "5001", " - ", "PURCHASES @ COST-NEW TEXT")</f>
        <v xml:space="preserve">          5001 - PURCHASES @ COST-NEW TEXT</v>
      </c>
      <c r="C83" s="11"/>
      <c r="D83" s="2">
        <v>-28969.93</v>
      </c>
      <c r="E83" s="2"/>
      <c r="F83" s="19">
        <f t="shared" si="9"/>
        <v>-6.6063246509933185E-2</v>
      </c>
      <c r="G83" s="2"/>
      <c r="H83" s="2"/>
      <c r="I83" s="2"/>
      <c r="J83" s="19">
        <f t="shared" si="10"/>
        <v>0</v>
      </c>
      <c r="K83" s="2"/>
      <c r="L83" s="2">
        <f t="shared" si="11"/>
        <v>-28969.93</v>
      </c>
      <c r="M83" s="2"/>
      <c r="N83" s="19">
        <f t="shared" si="12"/>
        <v>0</v>
      </c>
      <c r="O83" s="11"/>
      <c r="P83" s="2">
        <v>1006546.47</v>
      </c>
      <c r="Q83" s="2"/>
      <c r="R83" s="19">
        <f t="shared" si="13"/>
        <v>0.21390794397534191</v>
      </c>
      <c r="S83" s="2"/>
      <c r="T83" s="2"/>
      <c r="U83" s="2"/>
      <c r="V83" s="19">
        <f t="shared" si="14"/>
        <v>0</v>
      </c>
      <c r="W83" s="2"/>
      <c r="X83" s="2">
        <f t="shared" si="15"/>
        <v>1006546.47</v>
      </c>
      <c r="Y83" s="2"/>
      <c r="Z83" s="19">
        <f t="shared" si="16"/>
        <v>0</v>
      </c>
    </row>
    <row r="84" spans="1:26" s="24" customFormat="1" hidden="1" outlineLevel="1" x14ac:dyDescent="0.25">
      <c r="A84" s="44"/>
      <c r="B84" s="11" t="str">
        <f>CONCATENATE("          ", "5002", " - ", "PURCHASES @ COST-USED TEXT")</f>
        <v xml:space="preserve">          5002 - PURCHASES @ COST-USED TEXT</v>
      </c>
      <c r="C84" s="11"/>
      <c r="D84" s="2">
        <v>-122091.65</v>
      </c>
      <c r="E84" s="2"/>
      <c r="F84" s="19">
        <f t="shared" si="9"/>
        <v>-0.27841871798635631</v>
      </c>
      <c r="G84" s="2"/>
      <c r="H84" s="2"/>
      <c r="I84" s="2"/>
      <c r="J84" s="19">
        <f t="shared" si="10"/>
        <v>0</v>
      </c>
      <c r="K84" s="2"/>
      <c r="L84" s="2">
        <f t="shared" si="11"/>
        <v>-122091.65</v>
      </c>
      <c r="M84" s="2"/>
      <c r="N84" s="19">
        <f t="shared" si="12"/>
        <v>0</v>
      </c>
      <c r="O84" s="11"/>
      <c r="P84" s="2">
        <v>274961.02</v>
      </c>
      <c r="Q84" s="2"/>
      <c r="R84" s="19">
        <f t="shared" si="13"/>
        <v>5.8433811269104019E-2</v>
      </c>
      <c r="S84" s="2"/>
      <c r="T84" s="2"/>
      <c r="U84" s="2"/>
      <c r="V84" s="19">
        <f t="shared" si="14"/>
        <v>0</v>
      </c>
      <c r="W84" s="2"/>
      <c r="X84" s="2">
        <f t="shared" si="15"/>
        <v>274961.02</v>
      </c>
      <c r="Y84" s="2"/>
      <c r="Z84" s="19">
        <f t="shared" si="16"/>
        <v>0</v>
      </c>
    </row>
    <row r="85" spans="1:26" s="24" customFormat="1" hidden="1" outlineLevel="1" x14ac:dyDescent="0.25">
      <c r="A85" s="44"/>
      <c r="B85" s="11" t="str">
        <f>CONCATENATE("          ", "5003", " - ", "PURCHASES @ COST-RENTAL TEXT")</f>
        <v xml:space="preserve">          5003 - PURCHASES @ COST-RENTAL TEXT</v>
      </c>
      <c r="C85" s="11"/>
      <c r="D85" s="2"/>
      <c r="E85" s="2"/>
      <c r="F85" s="19">
        <f t="shared" si="9"/>
        <v>0</v>
      </c>
      <c r="G85" s="2"/>
      <c r="H85" s="2"/>
      <c r="I85" s="2"/>
      <c r="J85" s="19">
        <f t="shared" si="10"/>
        <v>0</v>
      </c>
      <c r="K85" s="2"/>
      <c r="L85" s="2">
        <f t="shared" si="11"/>
        <v>0</v>
      </c>
      <c r="M85" s="2"/>
      <c r="N85" s="19">
        <f t="shared" si="12"/>
        <v>0</v>
      </c>
      <c r="O85" s="11"/>
      <c r="P85" s="2">
        <v>32.520000000000003</v>
      </c>
      <c r="Q85" s="2"/>
      <c r="R85" s="19">
        <f t="shared" si="13"/>
        <v>6.9110433997926788E-6</v>
      </c>
      <c r="S85" s="2"/>
      <c r="T85" s="2"/>
      <c r="U85" s="2"/>
      <c r="V85" s="19">
        <f t="shared" si="14"/>
        <v>0</v>
      </c>
      <c r="W85" s="2"/>
      <c r="X85" s="2">
        <f t="shared" si="15"/>
        <v>32.520000000000003</v>
      </c>
      <c r="Y85" s="2"/>
      <c r="Z85" s="19">
        <f t="shared" si="16"/>
        <v>0</v>
      </c>
    </row>
    <row r="86" spans="1:26" s="24" customFormat="1" hidden="1" outlineLevel="1" x14ac:dyDescent="0.25">
      <c r="A86" s="44"/>
      <c r="B86" s="11" t="str">
        <f>CONCATENATE("          ", "5004", " - ", "PURCHASES @ COST-DIGITAL TEXT")</f>
        <v xml:space="preserve">          5004 - PURCHASES @ COST-DIGITAL TEXT</v>
      </c>
      <c r="C86" s="11"/>
      <c r="D86" s="2">
        <v>887.88</v>
      </c>
      <c r="E86" s="2"/>
      <c r="F86" s="19">
        <f t="shared" si="9"/>
        <v>2.0247282375635521E-3</v>
      </c>
      <c r="G86" s="2"/>
      <c r="H86" s="2"/>
      <c r="I86" s="2"/>
      <c r="J86" s="19">
        <f t="shared" si="10"/>
        <v>0</v>
      </c>
      <c r="K86" s="2"/>
      <c r="L86" s="2">
        <f t="shared" si="11"/>
        <v>887.88</v>
      </c>
      <c r="M86" s="2"/>
      <c r="N86" s="19">
        <f t="shared" si="12"/>
        <v>0</v>
      </c>
      <c r="O86" s="11"/>
      <c r="P86" s="2">
        <v>207450.38</v>
      </c>
      <c r="Q86" s="2"/>
      <c r="R86" s="19">
        <f t="shared" si="13"/>
        <v>4.4086672185838963E-2</v>
      </c>
      <c r="S86" s="2"/>
      <c r="T86" s="2"/>
      <c r="U86" s="2"/>
      <c r="V86" s="19">
        <f t="shared" si="14"/>
        <v>0</v>
      </c>
      <c r="W86" s="2"/>
      <c r="X86" s="2">
        <f t="shared" si="15"/>
        <v>207450.38</v>
      </c>
      <c r="Y86" s="2"/>
      <c r="Z86" s="19">
        <f t="shared" si="16"/>
        <v>0</v>
      </c>
    </row>
    <row r="87" spans="1:26" s="24" customFormat="1" hidden="1" outlineLevel="1" x14ac:dyDescent="0.25">
      <c r="A87" s="44"/>
      <c r="B87" s="11" t="str">
        <f>CONCATENATE("          ", "5011", " - ", "PURCHASES @ COST-NO VALUE TEXT")</f>
        <v xml:space="preserve">          5011 - PURCHASES @ COST-NO VALUE TEXT</v>
      </c>
      <c r="C87" s="11"/>
      <c r="D87" s="2"/>
      <c r="E87" s="2"/>
      <c r="F87" s="19">
        <f t="shared" si="9"/>
        <v>0</v>
      </c>
      <c r="G87" s="2"/>
      <c r="H87" s="2"/>
      <c r="I87" s="2"/>
      <c r="J87" s="19">
        <f t="shared" si="10"/>
        <v>0</v>
      </c>
      <c r="K87" s="2"/>
      <c r="L87" s="2">
        <f t="shared" si="11"/>
        <v>0</v>
      </c>
      <c r="M87" s="2"/>
      <c r="N87" s="19">
        <f t="shared" si="12"/>
        <v>0</v>
      </c>
      <c r="O87" s="11"/>
      <c r="P87" s="2">
        <v>67.17</v>
      </c>
      <c r="Q87" s="2"/>
      <c r="R87" s="19">
        <f t="shared" si="13"/>
        <v>1.4274747391269195E-5</v>
      </c>
      <c r="S87" s="2"/>
      <c r="T87" s="2"/>
      <c r="U87" s="2"/>
      <c r="V87" s="19">
        <f t="shared" si="14"/>
        <v>0</v>
      </c>
      <c r="W87" s="2"/>
      <c r="X87" s="2">
        <f t="shared" si="15"/>
        <v>67.17</v>
      </c>
      <c r="Y87" s="2"/>
      <c r="Z87" s="19">
        <f t="shared" si="16"/>
        <v>0</v>
      </c>
    </row>
    <row r="88" spans="1:26" s="24" customFormat="1" hidden="1" outlineLevel="1" x14ac:dyDescent="0.25">
      <c r="A88" s="44"/>
      <c r="B88" s="11" t="str">
        <f>CONCATENATE("          ", "5013", " - ", "PURCHASES @ COST-TRADE BOOKS")</f>
        <v xml:space="preserve">          5013 - PURCHASES @ COST-TRADE BOOKS</v>
      </c>
      <c r="C88" s="11"/>
      <c r="D88" s="2">
        <v>800</v>
      </c>
      <c r="E88" s="2"/>
      <c r="F88" s="19">
        <f t="shared" si="9"/>
        <v>1.8243260238442599E-3</v>
      </c>
      <c r="G88" s="2"/>
      <c r="H88" s="2"/>
      <c r="I88" s="2"/>
      <c r="J88" s="19">
        <f t="shared" si="10"/>
        <v>0</v>
      </c>
      <c r="K88" s="2"/>
      <c r="L88" s="2">
        <f t="shared" si="11"/>
        <v>800</v>
      </c>
      <c r="M88" s="2"/>
      <c r="N88" s="19">
        <f t="shared" si="12"/>
        <v>0</v>
      </c>
      <c r="O88" s="11"/>
      <c r="P88" s="2">
        <v>9670.02</v>
      </c>
      <c r="Q88" s="2"/>
      <c r="R88" s="19">
        <f t="shared" si="13"/>
        <v>2.0550408332368755E-3</v>
      </c>
      <c r="S88" s="2"/>
      <c r="T88" s="2"/>
      <c r="U88" s="2"/>
      <c r="V88" s="19">
        <f t="shared" si="14"/>
        <v>0</v>
      </c>
      <c r="W88" s="2"/>
      <c r="X88" s="2">
        <f t="shared" si="15"/>
        <v>9670.02</v>
      </c>
      <c r="Y88" s="2"/>
      <c r="Z88" s="19">
        <f t="shared" si="16"/>
        <v>0</v>
      </c>
    </row>
    <row r="89" spans="1:26" s="24" customFormat="1" hidden="1" outlineLevel="1" x14ac:dyDescent="0.25">
      <c r="A89" s="44"/>
      <c r="B89" s="11" t="str">
        <f>CONCATENATE("          ", "5014", " - ", "PURCHASES @ COST-REMAINDERS")</f>
        <v xml:space="preserve">          5014 - PURCHASES @ COST-REMAINDERS</v>
      </c>
      <c r="C89" s="11"/>
      <c r="D89" s="2"/>
      <c r="E89" s="2"/>
      <c r="F89" s="19">
        <f t="shared" si="9"/>
        <v>0</v>
      </c>
      <c r="G89" s="2"/>
      <c r="H89" s="2"/>
      <c r="I89" s="2"/>
      <c r="J89" s="19">
        <f t="shared" si="10"/>
        <v>0</v>
      </c>
      <c r="K89" s="2"/>
      <c r="L89" s="2">
        <f t="shared" si="11"/>
        <v>0</v>
      </c>
      <c r="M89" s="2"/>
      <c r="N89" s="19">
        <f t="shared" si="12"/>
        <v>0</v>
      </c>
      <c r="O89" s="11"/>
      <c r="P89" s="2">
        <v>111.57</v>
      </c>
      <c r="Q89" s="2"/>
      <c r="R89" s="19">
        <f t="shared" si="13"/>
        <v>2.3710489302425249E-5</v>
      </c>
      <c r="S89" s="2"/>
      <c r="T89" s="2"/>
      <c r="U89" s="2"/>
      <c r="V89" s="19">
        <f t="shared" si="14"/>
        <v>0</v>
      </c>
      <c r="W89" s="2"/>
      <c r="X89" s="2">
        <f t="shared" si="15"/>
        <v>111.57</v>
      </c>
      <c r="Y89" s="2"/>
      <c r="Z89" s="19">
        <f t="shared" si="16"/>
        <v>0</v>
      </c>
    </row>
    <row r="90" spans="1:26" s="24" customFormat="1" hidden="1" outlineLevel="1" x14ac:dyDescent="0.25">
      <c r="A90" s="44"/>
      <c r="B90" s="11" t="str">
        <f>CONCATENATE("          ", "5018", " - ", "PURCHASES @ COST-STUDY GUIDES")</f>
        <v xml:space="preserve">          5018 - PURCHASES @ COST-STUDY GUIDES</v>
      </c>
      <c r="C90" s="11"/>
      <c r="D90" s="2"/>
      <c r="E90" s="2"/>
      <c r="F90" s="19">
        <f t="shared" si="9"/>
        <v>0</v>
      </c>
      <c r="G90" s="2"/>
      <c r="H90" s="2"/>
      <c r="I90" s="2"/>
      <c r="J90" s="19">
        <f t="shared" si="10"/>
        <v>0</v>
      </c>
      <c r="K90" s="2"/>
      <c r="L90" s="2">
        <f t="shared" si="11"/>
        <v>0</v>
      </c>
      <c r="M90" s="2"/>
      <c r="N90" s="19">
        <f t="shared" si="12"/>
        <v>0</v>
      </c>
      <c r="O90" s="11"/>
      <c r="P90" s="2">
        <v>967.21</v>
      </c>
      <c r="Q90" s="2"/>
      <c r="R90" s="19">
        <f t="shared" si="13"/>
        <v>2.055482867993074E-4</v>
      </c>
      <c r="S90" s="2"/>
      <c r="T90" s="2"/>
      <c r="U90" s="2"/>
      <c r="V90" s="19">
        <f t="shared" si="14"/>
        <v>0</v>
      </c>
      <c r="W90" s="2"/>
      <c r="X90" s="2">
        <f t="shared" si="15"/>
        <v>967.21</v>
      </c>
      <c r="Y90" s="2"/>
      <c r="Z90" s="19">
        <f t="shared" si="16"/>
        <v>0</v>
      </c>
    </row>
    <row r="91" spans="1:26" s="24" customFormat="1" hidden="1" outlineLevel="1" x14ac:dyDescent="0.25">
      <c r="A91" s="44"/>
      <c r="B91" s="11" t="str">
        <f>CONCATENATE("          ", "5025", " - ", "PURCHASES @ COST-TEST FORMS")</f>
        <v xml:space="preserve">          5025 - PURCHASES @ COST-TEST FORMS</v>
      </c>
      <c r="C91" s="11"/>
      <c r="D91" s="2"/>
      <c r="E91" s="2"/>
      <c r="F91" s="19">
        <f t="shared" si="9"/>
        <v>0</v>
      </c>
      <c r="G91" s="2"/>
      <c r="H91" s="2"/>
      <c r="I91" s="2"/>
      <c r="J91" s="19">
        <f t="shared" si="10"/>
        <v>0</v>
      </c>
      <c r="K91" s="2"/>
      <c r="L91" s="2">
        <f t="shared" si="11"/>
        <v>0</v>
      </c>
      <c r="M91" s="2"/>
      <c r="N91" s="19">
        <f t="shared" si="12"/>
        <v>0</v>
      </c>
      <c r="O91" s="11"/>
      <c r="P91" s="2">
        <v>599.29</v>
      </c>
      <c r="Q91" s="2"/>
      <c r="R91" s="19">
        <f t="shared" si="13"/>
        <v>1.2735913896253856E-4</v>
      </c>
      <c r="S91" s="2"/>
      <c r="T91" s="2"/>
      <c r="U91" s="2"/>
      <c r="V91" s="19">
        <f t="shared" si="14"/>
        <v>0</v>
      </c>
      <c r="W91" s="2"/>
      <c r="X91" s="2">
        <f t="shared" si="15"/>
        <v>599.29</v>
      </c>
      <c r="Y91" s="2"/>
      <c r="Z91" s="19">
        <f t="shared" si="16"/>
        <v>0</v>
      </c>
    </row>
    <row r="92" spans="1:26" s="24" customFormat="1" hidden="1" outlineLevel="1" x14ac:dyDescent="0.25">
      <c r="A92" s="44"/>
      <c r="B92" s="11" t="str">
        <f>CONCATENATE("          ", "5026", " - ", "PURCHASES @ COST-WRITING INSTR")</f>
        <v xml:space="preserve">          5026 - PURCHASES @ COST-WRITING INSTR</v>
      </c>
      <c r="C92" s="11"/>
      <c r="D92" s="2"/>
      <c r="E92" s="2"/>
      <c r="F92" s="19">
        <f t="shared" si="9"/>
        <v>0</v>
      </c>
      <c r="G92" s="2"/>
      <c r="H92" s="2"/>
      <c r="I92" s="2"/>
      <c r="J92" s="19">
        <f t="shared" si="10"/>
        <v>0</v>
      </c>
      <c r="K92" s="2"/>
      <c r="L92" s="2">
        <f t="shared" si="11"/>
        <v>0</v>
      </c>
      <c r="M92" s="2"/>
      <c r="N92" s="19">
        <f t="shared" si="12"/>
        <v>0</v>
      </c>
      <c r="O92" s="11"/>
      <c r="P92" s="2">
        <v>584.54999999999995</v>
      </c>
      <c r="Q92" s="2"/>
      <c r="R92" s="19">
        <f t="shared" si="13"/>
        <v>1.2422664266140251E-4</v>
      </c>
      <c r="S92" s="2"/>
      <c r="T92" s="2"/>
      <c r="U92" s="2"/>
      <c r="V92" s="19">
        <f t="shared" si="14"/>
        <v>0</v>
      </c>
      <c r="W92" s="2"/>
      <c r="X92" s="2">
        <f t="shared" si="15"/>
        <v>584.54999999999995</v>
      </c>
      <c r="Y92" s="2"/>
      <c r="Z92" s="19">
        <f t="shared" si="16"/>
        <v>0</v>
      </c>
    </row>
    <row r="93" spans="1:26" s="24" customFormat="1" hidden="1" outlineLevel="1" x14ac:dyDescent="0.25">
      <c r="A93" s="44"/>
      <c r="B93" s="11" t="str">
        <f>CONCATENATE("          ", "5027", " - ", "PURCHASES @ COST-SCHOOL SUPPLI")</f>
        <v xml:space="preserve">          5027 - PURCHASES @ COST-SCHOOL SUPPLI</v>
      </c>
      <c r="C93" s="11"/>
      <c r="D93" s="2">
        <v>1838.72</v>
      </c>
      <c r="E93" s="2"/>
      <c r="F93" s="19">
        <f t="shared" si="9"/>
        <v>4.1930309332036475E-3</v>
      </c>
      <c r="G93" s="2"/>
      <c r="H93" s="2"/>
      <c r="I93" s="2"/>
      <c r="J93" s="19">
        <f t="shared" si="10"/>
        <v>0</v>
      </c>
      <c r="K93" s="2"/>
      <c r="L93" s="2">
        <f t="shared" si="11"/>
        <v>1838.72</v>
      </c>
      <c r="M93" s="2"/>
      <c r="N93" s="19">
        <f t="shared" si="12"/>
        <v>0</v>
      </c>
      <c r="O93" s="11"/>
      <c r="P93" s="2">
        <v>23734.6</v>
      </c>
      <c r="Q93" s="2"/>
      <c r="R93" s="19">
        <f t="shared" si="13"/>
        <v>5.0439990983001011E-3</v>
      </c>
      <c r="S93" s="2"/>
      <c r="T93" s="2"/>
      <c r="U93" s="2"/>
      <c r="V93" s="19">
        <f t="shared" si="14"/>
        <v>0</v>
      </c>
      <c r="W93" s="2"/>
      <c r="X93" s="2">
        <f t="shared" si="15"/>
        <v>23734.6</v>
      </c>
      <c r="Y93" s="2"/>
      <c r="Z93" s="19">
        <f t="shared" si="16"/>
        <v>0</v>
      </c>
    </row>
    <row r="94" spans="1:26" s="24" customFormat="1" hidden="1" outlineLevel="1" x14ac:dyDescent="0.25">
      <c r="A94" s="44"/>
      <c r="B94" s="11" t="str">
        <f>CONCATENATE("          ", "5028", " - ", "PURCHASES @ COST-ART/TECH")</f>
        <v xml:space="preserve">          5028 - PURCHASES @ COST-ART/TECH</v>
      </c>
      <c r="C94" s="11"/>
      <c r="D94" s="2">
        <v>1371.26</v>
      </c>
      <c r="E94" s="2"/>
      <c r="F94" s="19">
        <f t="shared" si="9"/>
        <v>3.1270316293208499E-3</v>
      </c>
      <c r="G94" s="2"/>
      <c r="H94" s="2"/>
      <c r="I94" s="2"/>
      <c r="J94" s="19">
        <f t="shared" si="10"/>
        <v>0</v>
      </c>
      <c r="K94" s="2"/>
      <c r="L94" s="2">
        <f t="shared" si="11"/>
        <v>1371.26</v>
      </c>
      <c r="M94" s="2"/>
      <c r="N94" s="19">
        <f t="shared" si="12"/>
        <v>0</v>
      </c>
      <c r="O94" s="11"/>
      <c r="P94" s="2">
        <v>47006.62</v>
      </c>
      <c r="Q94" s="2"/>
      <c r="R94" s="19">
        <f t="shared" si="13"/>
        <v>9.9896922170222176E-3</v>
      </c>
      <c r="S94" s="2"/>
      <c r="T94" s="2"/>
      <c r="U94" s="2"/>
      <c r="V94" s="19">
        <f t="shared" si="14"/>
        <v>0</v>
      </c>
      <c r="W94" s="2"/>
      <c r="X94" s="2">
        <f t="shared" si="15"/>
        <v>47006.62</v>
      </c>
      <c r="Y94" s="2"/>
      <c r="Z94" s="19">
        <f t="shared" si="16"/>
        <v>0</v>
      </c>
    </row>
    <row r="95" spans="1:26" s="24" customFormat="1" hidden="1" outlineLevel="1" x14ac:dyDescent="0.25">
      <c r="A95" s="44"/>
      <c r="B95" s="11" t="str">
        <f>CONCATENATE("          ", "5031", " - ", "PURCHASES @ COST-FOOD")</f>
        <v xml:space="preserve">          5031 - PURCHASES @ COST-FOOD</v>
      </c>
      <c r="C95" s="11"/>
      <c r="D95" s="2"/>
      <c r="E95" s="2"/>
      <c r="F95" s="19">
        <f t="shared" si="9"/>
        <v>0</v>
      </c>
      <c r="G95" s="2"/>
      <c r="H95" s="2"/>
      <c r="I95" s="2"/>
      <c r="J95" s="19">
        <f t="shared" si="10"/>
        <v>0</v>
      </c>
      <c r="K95" s="2"/>
      <c r="L95" s="2">
        <f t="shared" si="11"/>
        <v>0</v>
      </c>
      <c r="M95" s="2"/>
      <c r="N95" s="19">
        <f t="shared" si="12"/>
        <v>0</v>
      </c>
      <c r="O95" s="11"/>
      <c r="P95" s="2">
        <v>7785.72</v>
      </c>
      <c r="Q95" s="2"/>
      <c r="R95" s="19">
        <f t="shared" si="13"/>
        <v>1.6545955971289622E-3</v>
      </c>
      <c r="S95" s="2"/>
      <c r="T95" s="2"/>
      <c r="U95" s="2"/>
      <c r="V95" s="19">
        <f t="shared" si="14"/>
        <v>0</v>
      </c>
      <c r="W95" s="2"/>
      <c r="X95" s="2">
        <f t="shared" si="15"/>
        <v>7785.72</v>
      </c>
      <c r="Y95" s="2"/>
      <c r="Z95" s="19">
        <f t="shared" si="16"/>
        <v>0</v>
      </c>
    </row>
    <row r="96" spans="1:26" s="24" customFormat="1" hidden="1" outlineLevel="1" x14ac:dyDescent="0.25">
      <c r="A96" s="44"/>
      <c r="B96" s="11" t="str">
        <f>CONCATENATE("          ", "5040", " - ", "PURCHASES @ COST-LOGO CLOTHING")</f>
        <v xml:space="preserve">          5040 - PURCHASES @ COST-LOGO CLOTHING</v>
      </c>
      <c r="C96" s="11"/>
      <c r="D96" s="2">
        <v>39218.65</v>
      </c>
      <c r="E96" s="2"/>
      <c r="F96" s="19">
        <f t="shared" si="9"/>
        <v>8.9434504768799605E-2</v>
      </c>
      <c r="G96" s="2"/>
      <c r="H96" s="2"/>
      <c r="I96" s="2"/>
      <c r="J96" s="19">
        <f t="shared" si="10"/>
        <v>0</v>
      </c>
      <c r="K96" s="2"/>
      <c r="L96" s="2">
        <f t="shared" si="11"/>
        <v>39218.65</v>
      </c>
      <c r="M96" s="2"/>
      <c r="N96" s="19">
        <f t="shared" si="12"/>
        <v>0</v>
      </c>
      <c r="O96" s="11"/>
      <c r="P96" s="2">
        <v>279090.25</v>
      </c>
      <c r="Q96" s="2"/>
      <c r="R96" s="19">
        <f t="shared" si="13"/>
        <v>5.9311341642342821E-2</v>
      </c>
      <c r="S96" s="2"/>
      <c r="T96" s="2"/>
      <c r="U96" s="2"/>
      <c r="V96" s="19">
        <f t="shared" si="14"/>
        <v>0</v>
      </c>
      <c r="W96" s="2"/>
      <c r="X96" s="2">
        <f t="shared" si="15"/>
        <v>279090.25</v>
      </c>
      <c r="Y96" s="2"/>
      <c r="Z96" s="19">
        <f t="shared" si="16"/>
        <v>0</v>
      </c>
    </row>
    <row r="97" spans="1:26" s="24" customFormat="1" hidden="1" outlineLevel="1" x14ac:dyDescent="0.25">
      <c r="A97" s="44"/>
      <c r="B97" s="11" t="str">
        <f>CONCATENATE("          ", "5041", " - ", "PURCHASES @ COST-LOGO GIFTS")</f>
        <v xml:space="preserve">          5041 - PURCHASES @ COST-LOGO GIFTS</v>
      </c>
      <c r="C97" s="11"/>
      <c r="D97" s="2">
        <v>15798.51</v>
      </c>
      <c r="E97" s="2"/>
      <c r="F97" s="19">
        <f t="shared" si="9"/>
        <v>3.6027041163704726E-2</v>
      </c>
      <c r="G97" s="2"/>
      <c r="H97" s="2"/>
      <c r="I97" s="2"/>
      <c r="J97" s="19">
        <f t="shared" si="10"/>
        <v>0</v>
      </c>
      <c r="K97" s="2"/>
      <c r="L97" s="2">
        <f t="shared" si="11"/>
        <v>15798.51</v>
      </c>
      <c r="M97" s="2"/>
      <c r="N97" s="19">
        <f t="shared" si="12"/>
        <v>0</v>
      </c>
      <c r="O97" s="11"/>
      <c r="P97" s="2">
        <v>84261.95</v>
      </c>
      <c r="Q97" s="2"/>
      <c r="R97" s="19">
        <f t="shared" si="13"/>
        <v>1.7907072367809369E-2</v>
      </c>
      <c r="S97" s="2"/>
      <c r="T97" s="2"/>
      <c r="U97" s="2"/>
      <c r="V97" s="19">
        <f t="shared" si="14"/>
        <v>0</v>
      </c>
      <c r="W97" s="2"/>
      <c r="X97" s="2">
        <f t="shared" si="15"/>
        <v>84261.95</v>
      </c>
      <c r="Y97" s="2"/>
      <c r="Z97" s="19">
        <f t="shared" si="16"/>
        <v>0</v>
      </c>
    </row>
    <row r="98" spans="1:26" s="24" customFormat="1" hidden="1" outlineLevel="1" x14ac:dyDescent="0.25">
      <c r="A98" s="44"/>
      <c r="B98" s="11" t="str">
        <f>CONCATENATE("          ", "5042", " - ", "PURCHASES @ COST-EVERYDAY GIFT")</f>
        <v xml:space="preserve">          5042 - PURCHASES @ COST-EVERYDAY GIFT</v>
      </c>
      <c r="C98" s="11"/>
      <c r="D98" s="2"/>
      <c r="E98" s="2"/>
      <c r="F98" s="19">
        <f t="shared" si="9"/>
        <v>0</v>
      </c>
      <c r="G98" s="2"/>
      <c r="H98" s="2"/>
      <c r="I98" s="2"/>
      <c r="J98" s="19">
        <f t="shared" si="10"/>
        <v>0</v>
      </c>
      <c r="K98" s="2"/>
      <c r="L98" s="2">
        <f t="shared" si="11"/>
        <v>0</v>
      </c>
      <c r="M98" s="2"/>
      <c r="N98" s="19">
        <f t="shared" si="12"/>
        <v>0</v>
      </c>
      <c r="O98" s="11"/>
      <c r="P98" s="2">
        <v>18748.18</v>
      </c>
      <c r="Q98" s="2"/>
      <c r="R98" s="19">
        <f t="shared" si="13"/>
        <v>3.9843015266643632E-3</v>
      </c>
      <c r="S98" s="2"/>
      <c r="T98" s="2"/>
      <c r="U98" s="2"/>
      <c r="V98" s="19">
        <f t="shared" si="14"/>
        <v>0</v>
      </c>
      <c r="W98" s="2"/>
      <c r="X98" s="2">
        <f t="shared" si="15"/>
        <v>18748.18</v>
      </c>
      <c r="Y98" s="2"/>
      <c r="Z98" s="19">
        <f t="shared" si="16"/>
        <v>0</v>
      </c>
    </row>
    <row r="99" spans="1:26" s="24" customFormat="1" hidden="1" outlineLevel="1" x14ac:dyDescent="0.25">
      <c r="A99" s="44"/>
      <c r="B99" s="11" t="str">
        <f>CONCATENATE("          ", "5043", " - ", "PURCHASES @ COST-CARDS")</f>
        <v xml:space="preserve">          5043 - PURCHASES @ COST-CARDS</v>
      </c>
      <c r="C99" s="11"/>
      <c r="D99" s="2">
        <v>41</v>
      </c>
      <c r="E99" s="2"/>
      <c r="F99" s="19">
        <f t="shared" si="9"/>
        <v>9.3496708722018329E-5</v>
      </c>
      <c r="G99" s="2"/>
      <c r="H99" s="2"/>
      <c r="I99" s="2"/>
      <c r="J99" s="19">
        <f t="shared" si="10"/>
        <v>0</v>
      </c>
      <c r="K99" s="2"/>
      <c r="L99" s="2">
        <f t="shared" si="11"/>
        <v>41</v>
      </c>
      <c r="M99" s="2"/>
      <c r="N99" s="19">
        <f t="shared" si="12"/>
        <v>0</v>
      </c>
      <c r="O99" s="11"/>
      <c r="P99" s="2">
        <v>55405.33</v>
      </c>
      <c r="Q99" s="2"/>
      <c r="R99" s="19">
        <f t="shared" si="13"/>
        <v>1.1774558432036755E-2</v>
      </c>
      <c r="S99" s="2"/>
      <c r="T99" s="2"/>
      <c r="U99" s="2"/>
      <c r="V99" s="19">
        <f t="shared" si="14"/>
        <v>0</v>
      </c>
      <c r="W99" s="2"/>
      <c r="X99" s="2">
        <f t="shared" si="15"/>
        <v>55405.33</v>
      </c>
      <c r="Y99" s="2"/>
      <c r="Z99" s="19">
        <f t="shared" si="16"/>
        <v>0</v>
      </c>
    </row>
    <row r="100" spans="1:26" s="24" customFormat="1" hidden="1" outlineLevel="1" x14ac:dyDescent="0.25">
      <c r="A100" s="44"/>
      <c r="B100" s="11" t="str">
        <f>CONCATENATE("          ", "5044", " - ", "PURCHASES @ COST-ACCESSORIES")</f>
        <v xml:space="preserve">          5044 - PURCHASES @ COST-ACCESSORIES</v>
      </c>
      <c r="C100" s="11"/>
      <c r="D100" s="2">
        <v>1490.88</v>
      </c>
      <c r="E100" s="2"/>
      <c r="F100" s="19">
        <f t="shared" si="9"/>
        <v>3.3998139780361631E-3</v>
      </c>
      <c r="G100" s="2"/>
      <c r="H100" s="2"/>
      <c r="I100" s="2"/>
      <c r="J100" s="19">
        <f t="shared" si="10"/>
        <v>0</v>
      </c>
      <c r="K100" s="2"/>
      <c r="L100" s="2">
        <f t="shared" si="11"/>
        <v>1490.88</v>
      </c>
      <c r="M100" s="2"/>
      <c r="N100" s="19">
        <f t="shared" si="12"/>
        <v>0</v>
      </c>
      <c r="O100" s="11"/>
      <c r="P100" s="2">
        <v>2555.71</v>
      </c>
      <c r="Q100" s="2"/>
      <c r="R100" s="19">
        <f t="shared" si="13"/>
        <v>5.431310801747892E-4</v>
      </c>
      <c r="S100" s="2"/>
      <c r="T100" s="2"/>
      <c r="U100" s="2"/>
      <c r="V100" s="19">
        <f t="shared" si="14"/>
        <v>0</v>
      </c>
      <c r="W100" s="2"/>
      <c r="X100" s="2">
        <f t="shared" si="15"/>
        <v>2555.71</v>
      </c>
      <c r="Y100" s="2"/>
      <c r="Z100" s="19">
        <f t="shared" si="16"/>
        <v>0</v>
      </c>
    </row>
    <row r="101" spans="1:26" s="24" customFormat="1" hidden="1" outlineLevel="1" x14ac:dyDescent="0.25">
      <c r="A101" s="44"/>
      <c r="B101" s="11" t="str">
        <f>CONCATENATE("          ", "5045", " - ", "PURCHASES @ COST-SPECIAL ORDER")</f>
        <v xml:space="preserve">          5045 - PURCHASES @ COST-SPECIAL ORDER</v>
      </c>
      <c r="C101" s="11"/>
      <c r="D101" s="2">
        <v>5771.38</v>
      </c>
      <c r="E101" s="2"/>
      <c r="F101" s="19">
        <f t="shared" si="9"/>
        <v>1.3161098409367857E-2</v>
      </c>
      <c r="G101" s="2"/>
      <c r="H101" s="2"/>
      <c r="I101" s="2"/>
      <c r="J101" s="19">
        <f t="shared" si="10"/>
        <v>0</v>
      </c>
      <c r="K101" s="2"/>
      <c r="L101" s="2">
        <f t="shared" si="11"/>
        <v>5771.38</v>
      </c>
      <c r="M101" s="2"/>
      <c r="N101" s="19">
        <f t="shared" si="12"/>
        <v>0</v>
      </c>
      <c r="O101" s="11"/>
      <c r="P101" s="2">
        <v>114998.07</v>
      </c>
      <c r="Q101" s="2"/>
      <c r="R101" s="19">
        <f t="shared" si="13"/>
        <v>2.4439011459483285E-2</v>
      </c>
      <c r="S101" s="2"/>
      <c r="T101" s="2"/>
      <c r="U101" s="2"/>
      <c r="V101" s="19">
        <f t="shared" si="14"/>
        <v>0</v>
      </c>
      <c r="W101" s="2"/>
      <c r="X101" s="2">
        <f t="shared" si="15"/>
        <v>114998.07</v>
      </c>
      <c r="Y101" s="2"/>
      <c r="Z101" s="19">
        <f t="shared" si="16"/>
        <v>0</v>
      </c>
    </row>
    <row r="102" spans="1:26" s="24" customFormat="1" hidden="1" outlineLevel="1" x14ac:dyDescent="0.25">
      <c r="A102" s="44"/>
      <c r="B102" s="11" t="str">
        <f>CONCATENATE("          ", "5053", " - ", "PURCHASES @ COST-FOOD")</f>
        <v xml:space="preserve">          5053 - PURCHASES @ COST-FOOD</v>
      </c>
      <c r="C102" s="11"/>
      <c r="D102" s="2">
        <v>176.4</v>
      </c>
      <c r="E102" s="2"/>
      <c r="F102" s="19">
        <f t="shared" si="9"/>
        <v>4.0226388825765936E-4</v>
      </c>
      <c r="G102" s="2"/>
      <c r="H102" s="2"/>
      <c r="I102" s="2"/>
      <c r="J102" s="19">
        <f t="shared" si="10"/>
        <v>0</v>
      </c>
      <c r="K102" s="2"/>
      <c r="L102" s="2">
        <f t="shared" si="11"/>
        <v>176.4</v>
      </c>
      <c r="M102" s="2"/>
      <c r="N102" s="19">
        <f t="shared" si="12"/>
        <v>0</v>
      </c>
      <c r="O102" s="11"/>
      <c r="P102" s="2">
        <v>-2470.15</v>
      </c>
      <c r="Q102" s="2"/>
      <c r="R102" s="19">
        <f t="shared" si="13"/>
        <v>-5.2494815049193989E-4</v>
      </c>
      <c r="S102" s="2"/>
      <c r="T102" s="2"/>
      <c r="U102" s="2"/>
      <c r="V102" s="19">
        <f t="shared" si="14"/>
        <v>0</v>
      </c>
      <c r="W102" s="2"/>
      <c r="X102" s="2">
        <f t="shared" si="15"/>
        <v>-2470.15</v>
      </c>
      <c r="Y102" s="2"/>
      <c r="Z102" s="19">
        <f t="shared" si="16"/>
        <v>0</v>
      </c>
    </row>
    <row r="103" spans="1:26" s="24" customFormat="1" hidden="1" outlineLevel="1" x14ac:dyDescent="0.25">
      <c r="A103" s="44"/>
      <c r="B103" s="11" t="str">
        <f>CONCATENATE("          ", "5059", " - ", "PURCHASES @ COST-FOOD")</f>
        <v xml:space="preserve">          5059 - PURCHASES @ COST-FOOD</v>
      </c>
      <c r="C103" s="11"/>
      <c r="D103" s="2">
        <v>24.08</v>
      </c>
      <c r="E103" s="2"/>
      <c r="F103" s="19">
        <f t="shared" si="9"/>
        <v>5.4912213317712221E-5</v>
      </c>
      <c r="G103" s="2"/>
      <c r="H103" s="2"/>
      <c r="I103" s="2"/>
      <c r="J103" s="19">
        <f t="shared" si="10"/>
        <v>0</v>
      </c>
      <c r="K103" s="2"/>
      <c r="L103" s="2">
        <f t="shared" si="11"/>
        <v>24.08</v>
      </c>
      <c r="M103" s="2"/>
      <c r="N103" s="19">
        <f t="shared" si="12"/>
        <v>0</v>
      </c>
      <c r="O103" s="11"/>
      <c r="P103" s="2">
        <v>30889.99</v>
      </c>
      <c r="Q103" s="2"/>
      <c r="R103" s="19">
        <f t="shared" si="13"/>
        <v>6.5646390377971046E-3</v>
      </c>
      <c r="S103" s="2"/>
      <c r="T103" s="2"/>
      <c r="U103" s="2"/>
      <c r="V103" s="19">
        <f t="shared" si="14"/>
        <v>0</v>
      </c>
      <c r="W103" s="2"/>
      <c r="X103" s="2">
        <f t="shared" si="15"/>
        <v>30889.99</v>
      </c>
      <c r="Y103" s="2"/>
      <c r="Z103" s="19">
        <f t="shared" si="16"/>
        <v>0</v>
      </c>
    </row>
    <row r="104" spans="1:26" s="24" customFormat="1" hidden="1" outlineLevel="1" x14ac:dyDescent="0.25">
      <c r="A104" s="44"/>
      <c r="B104" s="11" t="str">
        <f>CONCATENATE("          ", "5086", " - ", "PURCHASES @ COST-COMPUTER SUPP")</f>
        <v xml:space="preserve">          5086 - PURCHASES @ COST-COMPUTER SUPP</v>
      </c>
      <c r="C104" s="11"/>
      <c r="D104" s="2"/>
      <c r="E104" s="2"/>
      <c r="F104" s="19">
        <f t="shared" si="9"/>
        <v>0</v>
      </c>
      <c r="G104" s="2"/>
      <c r="H104" s="2"/>
      <c r="I104" s="2"/>
      <c r="J104" s="19">
        <f t="shared" si="10"/>
        <v>0</v>
      </c>
      <c r="K104" s="2"/>
      <c r="L104" s="2">
        <f t="shared" si="11"/>
        <v>0</v>
      </c>
      <c r="M104" s="2"/>
      <c r="N104" s="19">
        <f t="shared" si="12"/>
        <v>0</v>
      </c>
      <c r="O104" s="11"/>
      <c r="P104" s="2">
        <v>13.21</v>
      </c>
      <c r="Q104" s="2"/>
      <c r="R104" s="19">
        <f t="shared" si="13"/>
        <v>2.8073457352786372E-6</v>
      </c>
      <c r="S104" s="2"/>
      <c r="T104" s="2"/>
      <c r="U104" s="2"/>
      <c r="V104" s="19">
        <f t="shared" si="14"/>
        <v>0</v>
      </c>
      <c r="W104" s="2"/>
      <c r="X104" s="2">
        <f t="shared" si="15"/>
        <v>13.21</v>
      </c>
      <c r="Y104" s="2"/>
      <c r="Z104" s="19">
        <f t="shared" si="16"/>
        <v>0</v>
      </c>
    </row>
    <row r="105" spans="1:26" s="24" customFormat="1" hidden="1" outlineLevel="1" x14ac:dyDescent="0.25">
      <c r="A105" s="44"/>
      <c r="B105" s="11" t="str">
        <f>CONCATENATE("          ", "5092", " - ", "PURCHASES @ COST-GRAD MERCH")</f>
        <v xml:space="preserve">          5092 - PURCHASES @ COST-GRAD MERCH</v>
      </c>
      <c r="C105" s="11"/>
      <c r="D105" s="2"/>
      <c r="E105" s="2"/>
      <c r="F105" s="19">
        <f t="shared" si="9"/>
        <v>0</v>
      </c>
      <c r="G105" s="2"/>
      <c r="H105" s="2"/>
      <c r="I105" s="2"/>
      <c r="J105" s="19">
        <f t="shared" si="10"/>
        <v>0</v>
      </c>
      <c r="K105" s="2"/>
      <c r="L105" s="2">
        <f t="shared" si="11"/>
        <v>0</v>
      </c>
      <c r="M105" s="2"/>
      <c r="N105" s="19">
        <f t="shared" si="12"/>
        <v>0</v>
      </c>
      <c r="O105" s="11"/>
      <c r="P105" s="2">
        <v>0</v>
      </c>
      <c r="Q105" s="2"/>
      <c r="R105" s="19">
        <f t="shared" si="13"/>
        <v>0</v>
      </c>
      <c r="S105" s="2"/>
      <c r="T105" s="2"/>
      <c r="U105" s="2"/>
      <c r="V105" s="19">
        <f t="shared" si="14"/>
        <v>0</v>
      </c>
      <c r="W105" s="2"/>
      <c r="X105" s="2">
        <f t="shared" si="15"/>
        <v>0</v>
      </c>
      <c r="Y105" s="2"/>
      <c r="Z105" s="19">
        <f t="shared" si="16"/>
        <v>0</v>
      </c>
    </row>
    <row r="106" spans="1:26" s="24" customFormat="1" hidden="1" outlineLevel="1" x14ac:dyDescent="0.25">
      <c r="A106" s="44"/>
      <c r="B106" s="11" t="str">
        <f>CONCATENATE("          ", "5200", " - ", "PURCHASES OFFSET")</f>
        <v xml:space="preserve">          5200 - PURCHASES OFFSET</v>
      </c>
      <c r="C106" s="11"/>
      <c r="D106" s="2">
        <v>78563.789999999994</v>
      </c>
      <c r="E106" s="2"/>
      <c r="F106" s="19">
        <f t="shared" si="9"/>
        <v>0.17915745828604426</v>
      </c>
      <c r="G106" s="2"/>
      <c r="H106" s="2"/>
      <c r="I106" s="2"/>
      <c r="J106" s="19">
        <f t="shared" si="10"/>
        <v>0</v>
      </c>
      <c r="K106" s="2"/>
      <c r="L106" s="2">
        <f t="shared" si="11"/>
        <v>78563.789999999994</v>
      </c>
      <c r="M106" s="2"/>
      <c r="N106" s="19">
        <f t="shared" si="12"/>
        <v>0</v>
      </c>
      <c r="O106" s="11"/>
      <c r="P106" s="2">
        <v>-1685385.13</v>
      </c>
      <c r="Q106" s="2"/>
      <c r="R106" s="19">
        <f t="shared" si="13"/>
        <v>-0.35817250242297738</v>
      </c>
      <c r="S106" s="2"/>
      <c r="T106" s="2"/>
      <c r="U106" s="2"/>
      <c r="V106" s="19">
        <f t="shared" si="14"/>
        <v>0</v>
      </c>
      <c r="W106" s="2"/>
      <c r="X106" s="2">
        <f t="shared" si="15"/>
        <v>-1685385.13</v>
      </c>
      <c r="Y106" s="2"/>
      <c r="Z106" s="19">
        <f t="shared" si="16"/>
        <v>0</v>
      </c>
    </row>
    <row r="107" spans="1:26" s="24" customFormat="1" hidden="1" outlineLevel="1" x14ac:dyDescent="0.25">
      <c r="A107" s="44"/>
      <c r="B107" s="11" t="str">
        <f>CONCATENATE("          ", "5300", " - ", "COG$ OFFSET")</f>
        <v xml:space="preserve">          5300 - COG$ OFFSET</v>
      </c>
      <c r="C107" s="11"/>
      <c r="D107" s="2">
        <v>222888</v>
      </c>
      <c r="E107" s="2"/>
      <c r="F107" s="19">
        <f t="shared" si="9"/>
        <v>0.50827547350324931</v>
      </c>
      <c r="G107" s="2"/>
      <c r="H107" s="2"/>
      <c r="I107" s="2"/>
      <c r="J107" s="19">
        <f t="shared" si="10"/>
        <v>0</v>
      </c>
      <c r="K107" s="2"/>
      <c r="L107" s="2">
        <f t="shared" si="11"/>
        <v>222888</v>
      </c>
      <c r="M107" s="2"/>
      <c r="N107" s="19">
        <f t="shared" si="12"/>
        <v>0</v>
      </c>
      <c r="O107" s="11"/>
      <c r="P107" s="2">
        <v>2400396</v>
      </c>
      <c r="Q107" s="2"/>
      <c r="R107" s="19">
        <f t="shared" si="13"/>
        <v>0.51012425992277821</v>
      </c>
      <c r="S107" s="2"/>
      <c r="T107" s="2"/>
      <c r="U107" s="2"/>
      <c r="V107" s="19">
        <f t="shared" si="14"/>
        <v>0</v>
      </c>
      <c r="W107" s="2"/>
      <c r="X107" s="2">
        <f t="shared" si="15"/>
        <v>2400396</v>
      </c>
      <c r="Y107" s="2"/>
      <c r="Z107" s="19">
        <f t="shared" si="16"/>
        <v>0</v>
      </c>
    </row>
    <row r="108" spans="1:26" s="24" customFormat="1" hidden="1" outlineLevel="1" x14ac:dyDescent="0.25">
      <c r="A108" s="44"/>
      <c r="B108" s="11" t="str">
        <f>CONCATENATE("          ", "5500", " - ", "FREIGHT-IN")</f>
        <v xml:space="preserve">          5500 - FREIGHT-IN</v>
      </c>
      <c r="C108" s="11"/>
      <c r="D108" s="2"/>
      <c r="E108" s="2"/>
      <c r="F108" s="19">
        <f t="shared" si="9"/>
        <v>0</v>
      </c>
      <c r="G108" s="2"/>
      <c r="H108" s="2"/>
      <c r="I108" s="2"/>
      <c r="J108" s="19">
        <f t="shared" si="10"/>
        <v>0</v>
      </c>
      <c r="K108" s="2"/>
      <c r="L108" s="2">
        <f t="shared" si="11"/>
        <v>0</v>
      </c>
      <c r="M108" s="2"/>
      <c r="N108" s="19">
        <f t="shared" si="12"/>
        <v>0</v>
      </c>
      <c r="O108" s="11"/>
      <c r="P108" s="2">
        <v>0</v>
      </c>
      <c r="Q108" s="2"/>
      <c r="R108" s="19">
        <f t="shared" si="13"/>
        <v>0</v>
      </c>
      <c r="S108" s="2"/>
      <c r="T108" s="2"/>
      <c r="U108" s="2"/>
      <c r="V108" s="19">
        <f t="shared" si="14"/>
        <v>0</v>
      </c>
      <c r="W108" s="2"/>
      <c r="X108" s="2">
        <f t="shared" si="15"/>
        <v>0</v>
      </c>
      <c r="Y108" s="2"/>
      <c r="Z108" s="19">
        <f t="shared" si="16"/>
        <v>0</v>
      </c>
    </row>
    <row r="109" spans="1:26" s="24" customFormat="1" hidden="1" outlineLevel="1" x14ac:dyDescent="0.25">
      <c r="A109" s="44"/>
      <c r="B109" s="11" t="str">
        <f>CONCATENATE("          ", "5501", " - ", "FREIGHT-IN-NEW TEXT")</f>
        <v xml:space="preserve">          5501 - FREIGHT-IN-NEW TEXT</v>
      </c>
      <c r="C109" s="11"/>
      <c r="D109" s="2">
        <v>271.27</v>
      </c>
      <c r="E109" s="2"/>
      <c r="F109" s="19">
        <f t="shared" si="9"/>
        <v>6.1860615061029047E-4</v>
      </c>
      <c r="G109" s="2"/>
      <c r="H109" s="2"/>
      <c r="I109" s="2"/>
      <c r="J109" s="19">
        <f t="shared" si="10"/>
        <v>0</v>
      </c>
      <c r="K109" s="2"/>
      <c r="L109" s="2">
        <f t="shared" si="11"/>
        <v>271.27</v>
      </c>
      <c r="M109" s="2"/>
      <c r="N109" s="19">
        <f t="shared" si="12"/>
        <v>0</v>
      </c>
      <c r="O109" s="11"/>
      <c r="P109" s="2">
        <v>50313.73</v>
      </c>
      <c r="Q109" s="2"/>
      <c r="R109" s="19">
        <f t="shared" si="13"/>
        <v>1.0692508352873643E-2</v>
      </c>
      <c r="S109" s="2"/>
      <c r="T109" s="2"/>
      <c r="U109" s="2"/>
      <c r="V109" s="19">
        <f t="shared" si="14"/>
        <v>0</v>
      </c>
      <c r="W109" s="2"/>
      <c r="X109" s="2">
        <f t="shared" si="15"/>
        <v>50313.73</v>
      </c>
      <c r="Y109" s="2"/>
      <c r="Z109" s="19">
        <f t="shared" si="16"/>
        <v>0</v>
      </c>
    </row>
    <row r="110" spans="1:26" s="24" customFormat="1" hidden="1" outlineLevel="1" x14ac:dyDescent="0.25">
      <c r="A110" s="44"/>
      <c r="B110" s="11" t="str">
        <f>CONCATENATE("          ", "5502", " - ", "FREIGHT-IN-USED TEXT")</f>
        <v xml:space="preserve">          5502 - FREIGHT-IN-USED TEXT</v>
      </c>
      <c r="C110" s="11"/>
      <c r="D110" s="2">
        <v>58.77</v>
      </c>
      <c r="E110" s="2"/>
      <c r="F110" s="19">
        <f t="shared" si="9"/>
        <v>1.3401955052665896E-4</v>
      </c>
      <c r="G110" s="2"/>
      <c r="H110" s="2"/>
      <c r="I110" s="2"/>
      <c r="J110" s="19">
        <f t="shared" si="10"/>
        <v>0</v>
      </c>
      <c r="K110" s="2"/>
      <c r="L110" s="2">
        <f t="shared" si="11"/>
        <v>58.77</v>
      </c>
      <c r="M110" s="2"/>
      <c r="N110" s="19">
        <f t="shared" si="12"/>
        <v>0</v>
      </c>
      <c r="O110" s="11"/>
      <c r="P110" s="2">
        <v>17858.900000000001</v>
      </c>
      <c r="Q110" s="2"/>
      <c r="R110" s="19">
        <f t="shared" si="13"/>
        <v>3.7953146670528129E-3</v>
      </c>
      <c r="S110" s="2"/>
      <c r="T110" s="2"/>
      <c r="U110" s="2"/>
      <c r="V110" s="19">
        <f t="shared" si="14"/>
        <v>0</v>
      </c>
      <c r="W110" s="2"/>
      <c r="X110" s="2">
        <f t="shared" si="15"/>
        <v>17858.900000000001</v>
      </c>
      <c r="Y110" s="2"/>
      <c r="Z110" s="19">
        <f t="shared" si="16"/>
        <v>0</v>
      </c>
    </row>
    <row r="111" spans="1:26" s="24" customFormat="1" hidden="1" outlineLevel="1" x14ac:dyDescent="0.25">
      <c r="A111" s="44"/>
      <c r="B111" s="11" t="str">
        <f>CONCATENATE("          ", "5504", " - ", "FREIGHT-IN-DIGITAL TEXT")</f>
        <v xml:space="preserve">          5504 - FREIGHT-IN-DIGITAL TEXT</v>
      </c>
      <c r="C111" s="11"/>
      <c r="D111" s="2"/>
      <c r="E111" s="2"/>
      <c r="F111" s="19">
        <f t="shared" si="9"/>
        <v>0</v>
      </c>
      <c r="G111" s="2"/>
      <c r="H111" s="2"/>
      <c r="I111" s="2"/>
      <c r="J111" s="19">
        <f t="shared" si="10"/>
        <v>0</v>
      </c>
      <c r="K111" s="2"/>
      <c r="L111" s="2">
        <f t="shared" si="11"/>
        <v>0</v>
      </c>
      <c r="M111" s="2"/>
      <c r="N111" s="19">
        <f t="shared" si="12"/>
        <v>0</v>
      </c>
      <c r="O111" s="11"/>
      <c r="P111" s="2">
        <v>28.92</v>
      </c>
      <c r="Q111" s="2"/>
      <c r="R111" s="19">
        <f t="shared" si="13"/>
        <v>6.1459832448340792E-6</v>
      </c>
      <c r="S111" s="2"/>
      <c r="T111" s="2"/>
      <c r="U111" s="2"/>
      <c r="V111" s="19">
        <f t="shared" si="14"/>
        <v>0</v>
      </c>
      <c r="W111" s="2"/>
      <c r="X111" s="2">
        <f t="shared" si="15"/>
        <v>28.92</v>
      </c>
      <c r="Y111" s="2"/>
      <c r="Z111" s="19">
        <f t="shared" si="16"/>
        <v>0</v>
      </c>
    </row>
    <row r="112" spans="1:26" s="24" customFormat="1" hidden="1" outlineLevel="1" x14ac:dyDescent="0.25">
      <c r="A112" s="44"/>
      <c r="B112" s="11" t="str">
        <f>CONCATENATE("          ", "5513", " - ", "FREIGHT-IN-TRADE BOOKS")</f>
        <v xml:space="preserve">          5513 - FREIGHT-IN-TRADE BOOKS</v>
      </c>
      <c r="C112" s="11"/>
      <c r="D112" s="2"/>
      <c r="E112" s="2"/>
      <c r="F112" s="19">
        <f t="shared" si="9"/>
        <v>0</v>
      </c>
      <c r="G112" s="2"/>
      <c r="H112" s="2"/>
      <c r="I112" s="2"/>
      <c r="J112" s="19">
        <f t="shared" si="10"/>
        <v>0</v>
      </c>
      <c r="K112" s="2"/>
      <c r="L112" s="2">
        <f t="shared" si="11"/>
        <v>0</v>
      </c>
      <c r="M112" s="2"/>
      <c r="N112" s="19">
        <f t="shared" si="12"/>
        <v>0</v>
      </c>
      <c r="O112" s="11"/>
      <c r="P112" s="2">
        <v>85.28</v>
      </c>
      <c r="Q112" s="2"/>
      <c r="R112" s="19">
        <f t="shared" si="13"/>
        <v>1.8123425004130368E-5</v>
      </c>
      <c r="S112" s="2"/>
      <c r="T112" s="2"/>
      <c r="U112" s="2"/>
      <c r="V112" s="19">
        <f t="shared" si="14"/>
        <v>0</v>
      </c>
      <c r="W112" s="2"/>
      <c r="X112" s="2">
        <f t="shared" si="15"/>
        <v>85.28</v>
      </c>
      <c r="Y112" s="2"/>
      <c r="Z112" s="19">
        <f t="shared" si="16"/>
        <v>0</v>
      </c>
    </row>
    <row r="113" spans="1:26" s="24" customFormat="1" hidden="1" outlineLevel="1" x14ac:dyDescent="0.25">
      <c r="A113" s="44"/>
      <c r="B113" s="11" t="str">
        <f>CONCATENATE("          ", "5525", " - ", "FREIGHT-IN-TEST FORMS")</f>
        <v xml:space="preserve">          5525 - FREIGHT-IN-TEST FORMS</v>
      </c>
      <c r="C113" s="11"/>
      <c r="D113" s="2"/>
      <c r="E113" s="2"/>
      <c r="F113" s="19">
        <f t="shared" si="9"/>
        <v>0</v>
      </c>
      <c r="G113" s="2"/>
      <c r="H113" s="2"/>
      <c r="I113" s="2"/>
      <c r="J113" s="19">
        <f t="shared" si="10"/>
        <v>0</v>
      </c>
      <c r="K113" s="2"/>
      <c r="L113" s="2">
        <f t="shared" si="11"/>
        <v>0</v>
      </c>
      <c r="M113" s="2"/>
      <c r="N113" s="19">
        <f t="shared" si="12"/>
        <v>0</v>
      </c>
      <c r="O113" s="11"/>
      <c r="P113" s="2">
        <v>48.14</v>
      </c>
      <c r="Q113" s="2"/>
      <c r="R113" s="19">
        <f t="shared" si="13"/>
        <v>1.0230554405474156E-5</v>
      </c>
      <c r="S113" s="2"/>
      <c r="T113" s="2"/>
      <c r="U113" s="2"/>
      <c r="V113" s="19">
        <f t="shared" si="14"/>
        <v>0</v>
      </c>
      <c r="W113" s="2"/>
      <c r="X113" s="2">
        <f t="shared" si="15"/>
        <v>48.14</v>
      </c>
      <c r="Y113" s="2"/>
      <c r="Z113" s="19">
        <f t="shared" si="16"/>
        <v>0</v>
      </c>
    </row>
    <row r="114" spans="1:26" s="24" customFormat="1" hidden="1" outlineLevel="1" x14ac:dyDescent="0.25">
      <c r="A114" s="44"/>
      <c r="B114" s="11" t="str">
        <f>CONCATENATE("          ", "5526", " - ", "FREIGHT-IN-WRITING INSTRUMENTS")</f>
        <v xml:space="preserve">          5526 - FREIGHT-IN-WRITING INSTRUMENTS</v>
      </c>
      <c r="C114" s="11"/>
      <c r="D114" s="2"/>
      <c r="E114" s="2"/>
      <c r="F114" s="19">
        <f t="shared" si="9"/>
        <v>0</v>
      </c>
      <c r="G114" s="2"/>
      <c r="H114" s="2"/>
      <c r="I114" s="2"/>
      <c r="J114" s="19">
        <f t="shared" si="10"/>
        <v>0</v>
      </c>
      <c r="K114" s="2"/>
      <c r="L114" s="2">
        <f t="shared" si="11"/>
        <v>0</v>
      </c>
      <c r="M114" s="2"/>
      <c r="N114" s="19">
        <f t="shared" si="12"/>
        <v>0</v>
      </c>
      <c r="O114" s="11"/>
      <c r="P114" s="2">
        <v>0</v>
      </c>
      <c r="Q114" s="2"/>
      <c r="R114" s="19">
        <f t="shared" si="13"/>
        <v>0</v>
      </c>
      <c r="S114" s="2"/>
      <c r="T114" s="2"/>
      <c r="U114" s="2"/>
      <c r="V114" s="19">
        <f t="shared" si="14"/>
        <v>0</v>
      </c>
      <c r="W114" s="2"/>
      <c r="X114" s="2">
        <f t="shared" si="15"/>
        <v>0</v>
      </c>
      <c r="Y114" s="2"/>
      <c r="Z114" s="19">
        <f t="shared" si="16"/>
        <v>0</v>
      </c>
    </row>
    <row r="115" spans="1:26" s="24" customFormat="1" hidden="1" outlineLevel="1" x14ac:dyDescent="0.25">
      <c r="A115" s="44"/>
      <c r="B115" s="11" t="str">
        <f>CONCATENATE("          ", "5527", " - ", "FREIGHT-IN-SCHOOL SUPPLIES")</f>
        <v xml:space="preserve">          5527 - FREIGHT-IN-SCHOOL SUPPLIES</v>
      </c>
      <c r="C115" s="11"/>
      <c r="D115" s="2"/>
      <c r="E115" s="2"/>
      <c r="F115" s="19">
        <f t="shared" si="9"/>
        <v>0</v>
      </c>
      <c r="G115" s="2"/>
      <c r="H115" s="2"/>
      <c r="I115" s="2"/>
      <c r="J115" s="19">
        <f t="shared" si="10"/>
        <v>0</v>
      </c>
      <c r="K115" s="2"/>
      <c r="L115" s="2">
        <f t="shared" si="11"/>
        <v>0</v>
      </c>
      <c r="M115" s="2"/>
      <c r="N115" s="19">
        <f t="shared" si="12"/>
        <v>0</v>
      </c>
      <c r="O115" s="11"/>
      <c r="P115" s="2">
        <v>218.62</v>
      </c>
      <c r="Q115" s="2"/>
      <c r="R115" s="19">
        <f t="shared" si="13"/>
        <v>4.6460403076958034E-5</v>
      </c>
      <c r="S115" s="2"/>
      <c r="T115" s="2"/>
      <c r="U115" s="2"/>
      <c r="V115" s="19">
        <f t="shared" si="14"/>
        <v>0</v>
      </c>
      <c r="W115" s="2"/>
      <c r="X115" s="2">
        <f t="shared" si="15"/>
        <v>218.62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"5528", " - ", "FREIGHT-IN-ART/TECH")</f>
        <v xml:space="preserve">          5528 - FREIGHT-IN-ART/TECH</v>
      </c>
      <c r="C116" s="11"/>
      <c r="D116" s="2">
        <v>89.22</v>
      </c>
      <c r="E116" s="2"/>
      <c r="F116" s="19">
        <f t="shared" si="9"/>
        <v>2.0345795980923108E-4</v>
      </c>
      <c r="G116" s="2"/>
      <c r="H116" s="2"/>
      <c r="I116" s="2"/>
      <c r="J116" s="19">
        <f t="shared" si="10"/>
        <v>0</v>
      </c>
      <c r="K116" s="2"/>
      <c r="L116" s="2">
        <f t="shared" si="11"/>
        <v>89.22</v>
      </c>
      <c r="M116" s="2"/>
      <c r="N116" s="19">
        <f t="shared" si="12"/>
        <v>0</v>
      </c>
      <c r="O116" s="11"/>
      <c r="P116" s="2">
        <v>544.42999999999995</v>
      </c>
      <c r="Q116" s="2"/>
      <c r="R116" s="19">
        <f t="shared" si="13"/>
        <v>1.1570047226780835E-4</v>
      </c>
      <c r="S116" s="2"/>
      <c r="T116" s="2"/>
      <c r="U116" s="2"/>
      <c r="V116" s="19">
        <f t="shared" si="14"/>
        <v>0</v>
      </c>
      <c r="W116" s="2"/>
      <c r="X116" s="2">
        <f t="shared" si="15"/>
        <v>544.42999999999995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"5540", " - ", "FREIGHT-IN-LOGO CLOTHING")</f>
        <v xml:space="preserve">          5540 - FREIGHT-IN-LOGO CLOTHING</v>
      </c>
      <c r="C117" s="11"/>
      <c r="D117" s="2">
        <v>2107.65</v>
      </c>
      <c r="E117" s="2"/>
      <c r="F117" s="19">
        <f t="shared" si="9"/>
        <v>4.8063009301941937E-3</v>
      </c>
      <c r="G117" s="2"/>
      <c r="H117" s="2"/>
      <c r="I117" s="2"/>
      <c r="J117" s="19">
        <f t="shared" si="10"/>
        <v>0</v>
      </c>
      <c r="K117" s="2"/>
      <c r="L117" s="2">
        <f t="shared" si="11"/>
        <v>2107.65</v>
      </c>
      <c r="M117" s="2"/>
      <c r="N117" s="19">
        <f t="shared" si="12"/>
        <v>0</v>
      </c>
      <c r="O117" s="11"/>
      <c r="P117" s="2">
        <v>9216.02</v>
      </c>
      <c r="Q117" s="2"/>
      <c r="R117" s="19">
        <f t="shared" si="13"/>
        <v>1.9585582470282078E-3</v>
      </c>
      <c r="S117" s="2"/>
      <c r="T117" s="2"/>
      <c r="U117" s="2"/>
      <c r="V117" s="19">
        <f t="shared" si="14"/>
        <v>0</v>
      </c>
      <c r="W117" s="2"/>
      <c r="X117" s="2">
        <f t="shared" si="15"/>
        <v>9216.02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"5541", " - ", "FREIGHT-IN-LOGO GIFTS")</f>
        <v xml:space="preserve">          5541 - FREIGHT-IN-LOGO GIFTS</v>
      </c>
      <c r="C118" s="11"/>
      <c r="D118" s="2">
        <v>2877.99</v>
      </c>
      <c r="E118" s="2"/>
      <c r="F118" s="19">
        <f t="shared" si="9"/>
        <v>6.562990066704427E-3</v>
      </c>
      <c r="G118" s="2"/>
      <c r="H118" s="2"/>
      <c r="I118" s="2"/>
      <c r="J118" s="19">
        <f t="shared" si="10"/>
        <v>0</v>
      </c>
      <c r="K118" s="2"/>
      <c r="L118" s="2">
        <f t="shared" si="11"/>
        <v>2877.99</v>
      </c>
      <c r="M118" s="2"/>
      <c r="N118" s="19">
        <f t="shared" si="12"/>
        <v>0</v>
      </c>
      <c r="O118" s="11"/>
      <c r="P118" s="2">
        <v>5015.99</v>
      </c>
      <c r="Q118" s="2"/>
      <c r="R118" s="19">
        <f t="shared" si="13"/>
        <v>1.0659816907418842E-3</v>
      </c>
      <c r="S118" s="2"/>
      <c r="T118" s="2"/>
      <c r="U118" s="2"/>
      <c r="V118" s="19">
        <f t="shared" si="14"/>
        <v>0</v>
      </c>
      <c r="W118" s="2"/>
      <c r="X118" s="2">
        <f t="shared" si="15"/>
        <v>5015.99</v>
      </c>
      <c r="Y118" s="2"/>
      <c r="Z118" s="19">
        <f t="shared" si="16"/>
        <v>0</v>
      </c>
    </row>
    <row r="119" spans="1:26" s="24" customFormat="1" hidden="1" outlineLevel="1" x14ac:dyDescent="0.25">
      <c r="A119" s="44"/>
      <c r="B119" s="11" t="str">
        <f>CONCATENATE("          ", "5542", " - ", "FREIGHT-IN-EVERYDAY GIFTS")</f>
        <v xml:space="preserve">          5542 - FREIGHT-IN-EVERYDAY GIFTS</v>
      </c>
      <c r="C119" s="11"/>
      <c r="D119" s="2"/>
      <c r="E119" s="2"/>
      <c r="F119" s="19">
        <f t="shared" si="9"/>
        <v>0</v>
      </c>
      <c r="G119" s="2"/>
      <c r="H119" s="2"/>
      <c r="I119" s="2"/>
      <c r="J119" s="19">
        <f t="shared" si="10"/>
        <v>0</v>
      </c>
      <c r="K119" s="2"/>
      <c r="L119" s="2">
        <f t="shared" si="11"/>
        <v>0</v>
      </c>
      <c r="M119" s="2"/>
      <c r="N119" s="19">
        <f t="shared" si="12"/>
        <v>0</v>
      </c>
      <c r="O119" s="11"/>
      <c r="P119" s="2">
        <v>681.72</v>
      </c>
      <c r="Q119" s="2"/>
      <c r="R119" s="19">
        <f t="shared" si="13"/>
        <v>1.4487689134399338E-4</v>
      </c>
      <c r="S119" s="2"/>
      <c r="T119" s="2"/>
      <c r="U119" s="2"/>
      <c r="V119" s="19">
        <f t="shared" si="14"/>
        <v>0</v>
      </c>
      <c r="W119" s="2"/>
      <c r="X119" s="2">
        <f t="shared" si="15"/>
        <v>681.72</v>
      </c>
      <c r="Y119" s="2"/>
      <c r="Z119" s="19">
        <f t="shared" si="16"/>
        <v>0</v>
      </c>
    </row>
    <row r="120" spans="1:26" s="24" customFormat="1" hidden="1" outlineLevel="1" x14ac:dyDescent="0.25">
      <c r="A120" s="44"/>
      <c r="B120" s="11" t="str">
        <f>CONCATENATE("          ", "5543", " - ", "FREIGHT-IN-CARDS")</f>
        <v xml:space="preserve">          5543 - FREIGHT-IN-CARDS</v>
      </c>
      <c r="C120" s="11"/>
      <c r="D120" s="2"/>
      <c r="E120" s="2"/>
      <c r="F120" s="19">
        <f t="shared" si="9"/>
        <v>0</v>
      </c>
      <c r="G120" s="2"/>
      <c r="H120" s="2"/>
      <c r="I120" s="2"/>
      <c r="J120" s="19">
        <f t="shared" si="10"/>
        <v>0</v>
      </c>
      <c r="K120" s="2"/>
      <c r="L120" s="2">
        <f t="shared" si="11"/>
        <v>0</v>
      </c>
      <c r="M120" s="2"/>
      <c r="N120" s="19">
        <f t="shared" si="12"/>
        <v>0</v>
      </c>
      <c r="O120" s="11"/>
      <c r="P120" s="2">
        <v>9110.5300000000007</v>
      </c>
      <c r="Q120" s="2"/>
      <c r="R120" s="19">
        <f t="shared" si="13"/>
        <v>1.9361398593208238E-3</v>
      </c>
      <c r="S120" s="2"/>
      <c r="T120" s="2"/>
      <c r="U120" s="2"/>
      <c r="V120" s="19">
        <f t="shared" si="14"/>
        <v>0</v>
      </c>
      <c r="W120" s="2"/>
      <c r="X120" s="2">
        <f t="shared" si="15"/>
        <v>9110.5300000000007</v>
      </c>
      <c r="Y120" s="2"/>
      <c r="Z120" s="19">
        <f t="shared" si="16"/>
        <v>0</v>
      </c>
    </row>
    <row r="121" spans="1:26" s="24" customFormat="1" hidden="1" outlineLevel="1" x14ac:dyDescent="0.25">
      <c r="A121" s="44"/>
      <c r="B121" s="11" t="str">
        <f>CONCATENATE("          ", "5545", " - ", "FREIGHT-IN-SPECIAL ORDERS")</f>
        <v xml:space="preserve">          5545 - FREIGHT-IN-SPECIAL ORDERS</v>
      </c>
      <c r="C121" s="11"/>
      <c r="D121" s="2">
        <v>168.6</v>
      </c>
      <c r="E121" s="2"/>
      <c r="F121" s="19">
        <f t="shared" si="9"/>
        <v>3.8447670952517778E-4</v>
      </c>
      <c r="G121" s="2"/>
      <c r="H121" s="2"/>
      <c r="I121" s="2"/>
      <c r="J121" s="19">
        <f t="shared" si="10"/>
        <v>0</v>
      </c>
      <c r="K121" s="2"/>
      <c r="L121" s="2">
        <f t="shared" si="11"/>
        <v>168.6</v>
      </c>
      <c r="M121" s="2"/>
      <c r="N121" s="19">
        <f t="shared" si="12"/>
        <v>0</v>
      </c>
      <c r="O121" s="11"/>
      <c r="P121" s="2">
        <v>1434.76</v>
      </c>
      <c r="Q121" s="2"/>
      <c r="R121" s="19">
        <f t="shared" si="13"/>
        <v>3.0491047442455545E-4</v>
      </c>
      <c r="S121" s="2"/>
      <c r="T121" s="2"/>
      <c r="U121" s="2"/>
      <c r="V121" s="19">
        <f t="shared" si="14"/>
        <v>0</v>
      </c>
      <c r="W121" s="2"/>
      <c r="X121" s="2">
        <f t="shared" si="15"/>
        <v>1434.76</v>
      </c>
      <c r="Y121" s="2"/>
      <c r="Z121" s="19">
        <f t="shared" si="16"/>
        <v>0</v>
      </c>
    </row>
    <row r="122" spans="1:26" s="24" customFormat="1" hidden="1" outlineLevel="1" x14ac:dyDescent="0.25">
      <c r="A122" s="44"/>
      <c r="B122" s="11" t="str">
        <f>CONCATENATE("          ", "5592", " - ", "FREIGHT-IN-GRAD MERCH")</f>
        <v xml:space="preserve">          5592 - FREIGHT-IN-GRAD MERCH</v>
      </c>
      <c r="C122" s="11"/>
      <c r="D122" s="2"/>
      <c r="E122" s="2"/>
      <c r="F122" s="19">
        <f t="shared" si="9"/>
        <v>0</v>
      </c>
      <c r="G122" s="2"/>
      <c r="H122" s="2"/>
      <c r="I122" s="2"/>
      <c r="J122" s="19">
        <f t="shared" si="10"/>
        <v>0</v>
      </c>
      <c r="K122" s="2"/>
      <c r="L122" s="2">
        <f t="shared" si="11"/>
        <v>0</v>
      </c>
      <c r="M122" s="2"/>
      <c r="N122" s="19">
        <f t="shared" si="12"/>
        <v>0</v>
      </c>
      <c r="O122" s="11"/>
      <c r="P122" s="2">
        <v>0</v>
      </c>
      <c r="Q122" s="2"/>
      <c r="R122" s="19">
        <f t="shared" si="13"/>
        <v>0</v>
      </c>
      <c r="S122" s="2"/>
      <c r="T122" s="2"/>
      <c r="U122" s="2"/>
      <c r="V122" s="19">
        <f t="shared" si="14"/>
        <v>0</v>
      </c>
      <c r="W122" s="2"/>
      <c r="X122" s="2">
        <f t="shared" si="15"/>
        <v>0</v>
      </c>
      <c r="Y122" s="2"/>
      <c r="Z122" s="19">
        <f t="shared" si="16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108</v>
      </c>
      <c r="C124" s="28"/>
      <c r="D124" s="21">
        <f>D12-D81</f>
        <v>215135.6400000001</v>
      </c>
      <c r="E124" s="14"/>
      <c r="F124" s="20">
        <f>IF(D$12=0,0,D124/D$12)</f>
        <v>0.49059693338548788</v>
      </c>
      <c r="G124" s="14"/>
      <c r="H124" s="21">
        <f>H12-H81</f>
        <v>317788</v>
      </c>
      <c r="I124" s="14"/>
      <c r="J124" s="20">
        <f>IF(H$12=0,0,H124/H$12)</f>
        <v>0.56198616025875681</v>
      </c>
      <c r="K124" s="16"/>
      <c r="L124" s="21">
        <f>+D124-H124</f>
        <v>-102652.3599999999</v>
      </c>
      <c r="M124" s="16"/>
      <c r="N124" s="20">
        <f>IF(H124=0,0,L124/H124)</f>
        <v>-0.32302151119614303</v>
      </c>
      <c r="O124" s="29"/>
      <c r="P124" s="21">
        <f>P12-P81</f>
        <v>1732934.7499999991</v>
      </c>
      <c r="Q124" s="14"/>
      <c r="R124" s="20">
        <f>IF(P$12=0,0,P124/P$12)</f>
        <v>0.36827759121337234</v>
      </c>
      <c r="S124" s="14"/>
      <c r="T124" s="21">
        <f>T12-T81</f>
        <v>3703362</v>
      </c>
      <c r="U124" s="14"/>
      <c r="V124" s="20">
        <f>IF(T$12=0,0,T124/T$12)</f>
        <v>0.4234727085196256</v>
      </c>
      <c r="W124" s="16"/>
      <c r="X124" s="21">
        <f>+P124-T124</f>
        <v>-1970427.2500000009</v>
      </c>
      <c r="Y124" s="16"/>
      <c r="Z124" s="20">
        <f>IF(T124=0,0,X124/T124)</f>
        <v>-0.53206444576576661</v>
      </c>
    </row>
    <row r="125" spans="1:26" x14ac:dyDescent="0.25">
      <c r="A125" s="9"/>
      <c r="B125" s="10"/>
      <c r="C125" s="9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6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x14ac:dyDescent="0.25">
      <c r="A126" s="10"/>
      <c r="B126" s="29" t="s">
        <v>295</v>
      </c>
      <c r="C126" s="10"/>
      <c r="D126" s="22">
        <f>SUM(OSRRefD22x_0)</f>
        <v>271150.80999999994</v>
      </c>
      <c r="E126" s="22"/>
      <c r="F126" s="32">
        <f t="shared" ref="F126:F137" si="17">IF(D$12=0,0,D126/D$12)</f>
        <v>0.61833434883681282</v>
      </c>
      <c r="G126" s="22"/>
      <c r="H126" s="22">
        <f>SUM(OSRRefH22x_0)</f>
        <v>455241.98105547321</v>
      </c>
      <c r="I126" s="22"/>
      <c r="J126" s="32">
        <f t="shared" ref="J126:J137" si="18">IF(H$12=0,0,H126/H$12)</f>
        <v>0.80506404559629408</v>
      </c>
      <c r="K126" s="4"/>
      <c r="L126" s="22">
        <f t="shared" ref="L126:L137" si="19">+D126-H126</f>
        <v>-184091.17105547327</v>
      </c>
      <c r="M126" s="4"/>
      <c r="N126" s="32">
        <f t="shared" ref="N126:N137" si="20">IF(H126=0,0,L126/H126)</f>
        <v>-0.40438091985422797</v>
      </c>
      <c r="O126" s="10"/>
      <c r="P126" s="22">
        <f>SUM(OSRRefP22x_0)</f>
        <v>2871436.7500000009</v>
      </c>
      <c r="Q126" s="22"/>
      <c r="R126" s="32">
        <f t="shared" ref="R126:R137" si="21">IF(P$12=0,0,P126/P$12)</f>
        <v>0.61022829025244907</v>
      </c>
      <c r="S126" s="22"/>
      <c r="T126" s="22">
        <f>SUM(OSRRefT22x_0)</f>
        <v>4308384.3071516529</v>
      </c>
      <c r="U126" s="22"/>
      <c r="V126" s="32">
        <f t="shared" ref="V126:V137" si="22">IF(T$12=0,0,T126/T$12)</f>
        <v>0.49265590884524951</v>
      </c>
      <c r="W126" s="4"/>
      <c r="X126" s="22">
        <f t="shared" ref="X126:X137" si="23">+P126-T126</f>
        <v>-1436947.5571516519</v>
      </c>
      <c r="Y126" s="4"/>
      <c r="Z126" s="32">
        <f t="shared" ref="Z126:Z137" si="24">IF(T126=0,0,X126/T126)</f>
        <v>-0.33352353335017199</v>
      </c>
    </row>
    <row r="127" spans="1:26" s="25" customFormat="1" outlineLevel="1" collapsed="1" x14ac:dyDescent="0.25">
      <c r="A127" s="27"/>
      <c r="B127" s="13" t="str">
        <f>CONCATENATE("     ","*Benefits                                         ")</f>
        <v xml:space="preserve">     *Benefits                                         </v>
      </c>
      <c r="C127" s="13"/>
      <c r="D127" s="1">
        <f>SUM(OSRRefD22_0x_0)</f>
        <v>53608.380000000005</v>
      </c>
      <c r="E127" s="1"/>
      <c r="F127" s="5">
        <f t="shared" si="17"/>
        <v>0.1222489534126652</v>
      </c>
      <c r="G127" s="1"/>
      <c r="H127" s="1">
        <f>SUM(OSRRefH22_0x_0)</f>
        <v>56939.264000857685</v>
      </c>
      <c r="I127" s="1"/>
      <c r="J127" s="5">
        <f t="shared" si="18"/>
        <v>0.10069316130187947</v>
      </c>
      <c r="K127" s="1"/>
      <c r="L127" s="1">
        <f t="shared" si="19"/>
        <v>-3330.8840008576808</v>
      </c>
      <c r="M127" s="1"/>
      <c r="N127" s="5">
        <f t="shared" si="20"/>
        <v>-5.8498894555565506E-2</v>
      </c>
      <c r="O127" s="13"/>
      <c r="P127" s="1">
        <f>SUM(OSRRefP22_0x_0)</f>
        <v>498887.14999999991</v>
      </c>
      <c r="Q127" s="1"/>
      <c r="R127" s="5">
        <f t="shared" si="21"/>
        <v>0.10602185563495939</v>
      </c>
      <c r="S127" s="1"/>
      <c r="T127" s="1">
        <f>SUM(OSRRefT22_0x_0)</f>
        <v>532645.98232103756</v>
      </c>
      <c r="U127" s="1"/>
      <c r="V127" s="5">
        <f t="shared" si="22"/>
        <v>6.0907099229183206E-2</v>
      </c>
      <c r="W127" s="1"/>
      <c r="X127" s="1">
        <f t="shared" si="23"/>
        <v>-33758.832321037655</v>
      </c>
      <c r="Y127" s="1"/>
      <c r="Z127" s="5">
        <f t="shared" si="24"/>
        <v>-6.337949302448781E-2</v>
      </c>
    </row>
    <row r="128" spans="1:26" s="24" customFormat="1" hidden="1" outlineLevel="2" x14ac:dyDescent="0.25">
      <c r="A128" s="26"/>
      <c r="B128" s="11" t="str">
        <f>CONCATENATE("          ", "6111", " - ", "F.I.C.A.")</f>
        <v xml:space="preserve">          6111 - F.I.C.A.</v>
      </c>
      <c r="C128" s="11"/>
      <c r="D128" s="7">
        <v>10750.32</v>
      </c>
      <c r="E128" s="2"/>
      <c r="F128" s="6">
        <f t="shared" si="17"/>
        <v>2.4515110675816781E-2</v>
      </c>
      <c r="G128" s="2"/>
      <c r="H128" s="7">
        <v>9707.9547435115401</v>
      </c>
      <c r="I128" s="2"/>
      <c r="J128" s="6">
        <f t="shared" si="18"/>
        <v>1.7167848409228276E-2</v>
      </c>
      <c r="K128" s="2"/>
      <c r="L128" s="7">
        <f t="shared" si="19"/>
        <v>1042.3652564884596</v>
      </c>
      <c r="M128" s="2"/>
      <c r="N128" s="6">
        <f t="shared" si="20"/>
        <v>0.10737228221888245</v>
      </c>
      <c r="O128" s="11"/>
      <c r="P128" s="7">
        <v>93127.86</v>
      </c>
      <c r="Q128" s="2"/>
      <c r="R128" s="6">
        <f t="shared" si="21"/>
        <v>1.9791226389600756E-2</v>
      </c>
      <c r="S128" s="2"/>
      <c r="T128" s="7">
        <v>93437.759274716504</v>
      </c>
      <c r="U128" s="2"/>
      <c r="V128" s="6">
        <f t="shared" si="22"/>
        <v>1.0684437815711498E-2</v>
      </c>
      <c r="W128" s="2"/>
      <c r="X128" s="7">
        <f t="shared" si="23"/>
        <v>-309.89927471650299</v>
      </c>
      <c r="Y128" s="2"/>
      <c r="Z128" s="6">
        <f t="shared" si="24"/>
        <v>-3.3166385530004807E-3</v>
      </c>
    </row>
    <row r="129" spans="1:26" s="24" customFormat="1" hidden="1" outlineLevel="2" x14ac:dyDescent="0.25">
      <c r="A129" s="26"/>
      <c r="B129" s="11" t="str">
        <f>CONCATENATE("          ", "6112", " - ", "COMPENSATION INSURANCE")</f>
        <v xml:space="preserve">          6112 - COMPENSATION INSURANCE</v>
      </c>
      <c r="C129" s="11"/>
      <c r="D129" s="7">
        <v>1599.53</v>
      </c>
      <c r="E129" s="2"/>
      <c r="F129" s="6">
        <f t="shared" si="17"/>
        <v>3.6475802561495114E-3</v>
      </c>
      <c r="G129" s="2"/>
      <c r="H129" s="7">
        <v>4203.0306040384603</v>
      </c>
      <c r="I129" s="2"/>
      <c r="J129" s="6">
        <f t="shared" si="18"/>
        <v>7.4327697415057133E-3</v>
      </c>
      <c r="K129" s="2"/>
      <c r="L129" s="7">
        <f t="shared" si="19"/>
        <v>-2603.5006040384606</v>
      </c>
      <c r="M129" s="2"/>
      <c r="N129" s="6">
        <f t="shared" si="20"/>
        <v>-0.61943412963419786</v>
      </c>
      <c r="O129" s="11"/>
      <c r="P129" s="7">
        <v>22409</v>
      </c>
      <c r="Q129" s="2"/>
      <c r="R129" s="6">
        <f t="shared" si="21"/>
        <v>4.7622869479075685E-3</v>
      </c>
      <c r="S129" s="2"/>
      <c r="T129" s="7">
        <v>37566.8822856634</v>
      </c>
      <c r="U129" s="2"/>
      <c r="V129" s="6">
        <f t="shared" si="22"/>
        <v>4.2957046575916218E-3</v>
      </c>
      <c r="W129" s="2"/>
      <c r="X129" s="7">
        <f t="shared" si="23"/>
        <v>-15157.8822856634</v>
      </c>
      <c r="Y129" s="2"/>
      <c r="Z129" s="6">
        <f t="shared" si="24"/>
        <v>-0.40349055773116638</v>
      </c>
    </row>
    <row r="130" spans="1:26" s="24" customFormat="1" hidden="1" outlineLevel="2" x14ac:dyDescent="0.25">
      <c r="A130" s="26"/>
      <c r="B130" s="11" t="str">
        <f>CONCATENATE("          ", "6113", " - ", "GROUP INSURANCE")</f>
        <v xml:space="preserve">          6113 - GROUP INSURANCE</v>
      </c>
      <c r="C130" s="11"/>
      <c r="D130" s="7">
        <v>18284.05</v>
      </c>
      <c r="E130" s="2"/>
      <c r="F130" s="6">
        <f t="shared" si="17"/>
        <v>4.1695085295337053E-2</v>
      </c>
      <c r="G130" s="2"/>
      <c r="H130" s="7">
        <v>22027.5</v>
      </c>
      <c r="I130" s="2"/>
      <c r="J130" s="6">
        <f t="shared" si="18"/>
        <v>3.8954114520056662E-2</v>
      </c>
      <c r="K130" s="2"/>
      <c r="L130" s="7">
        <f t="shared" si="19"/>
        <v>-3743.4500000000007</v>
      </c>
      <c r="M130" s="2"/>
      <c r="N130" s="6">
        <f t="shared" si="20"/>
        <v>-0.16994438769719672</v>
      </c>
      <c r="O130" s="11"/>
      <c r="P130" s="7">
        <v>182937.86</v>
      </c>
      <c r="Q130" s="2"/>
      <c r="R130" s="6">
        <f t="shared" si="21"/>
        <v>3.8877352088720694E-2</v>
      </c>
      <c r="S130" s="2"/>
      <c r="T130" s="7">
        <v>215595</v>
      </c>
      <c r="U130" s="2"/>
      <c r="V130" s="6">
        <f t="shared" si="22"/>
        <v>2.4652896096381795E-2</v>
      </c>
      <c r="W130" s="2"/>
      <c r="X130" s="7">
        <f t="shared" si="23"/>
        <v>-32657.140000000014</v>
      </c>
      <c r="Y130" s="2"/>
      <c r="Z130" s="6">
        <f t="shared" si="24"/>
        <v>-0.15147447760847893</v>
      </c>
    </row>
    <row r="131" spans="1:26" s="24" customFormat="1" hidden="1" outlineLevel="2" x14ac:dyDescent="0.25">
      <c r="A131" s="26"/>
      <c r="B131" s="11" t="str">
        <f>CONCATENATE("          ", "6114", " - ", "STATE UNEMPLOYMENT INSURANCE")</f>
        <v xml:space="preserve">          6114 - STATE UNEMPLOYMENT INSURANCE</v>
      </c>
      <c r="C131" s="11"/>
      <c r="D131" s="7">
        <v>297.08999999999997</v>
      </c>
      <c r="E131" s="2"/>
      <c r="F131" s="6">
        <f t="shared" si="17"/>
        <v>6.7748627302986395E-4</v>
      </c>
      <c r="G131" s="2"/>
      <c r="H131" s="7">
        <v>595.33220100000005</v>
      </c>
      <c r="I131" s="2"/>
      <c r="J131" s="6">
        <f t="shared" si="18"/>
        <v>1.0528039375885321E-3</v>
      </c>
      <c r="K131" s="2"/>
      <c r="L131" s="7">
        <f t="shared" si="19"/>
        <v>-298.24220100000008</v>
      </c>
      <c r="M131" s="2"/>
      <c r="N131" s="6">
        <f t="shared" si="20"/>
        <v>-0.50096769584953138</v>
      </c>
      <c r="O131" s="11"/>
      <c r="P131" s="7">
        <v>3665.58</v>
      </c>
      <c r="Q131" s="2"/>
      <c r="R131" s="6">
        <f t="shared" si="21"/>
        <v>7.7899700078142822E-4</v>
      </c>
      <c r="S131" s="2"/>
      <c r="T131" s="7">
        <v>5320.25157485</v>
      </c>
      <c r="U131" s="2"/>
      <c r="V131" s="6">
        <f t="shared" si="22"/>
        <v>6.0836109038423273E-4</v>
      </c>
      <c r="W131" s="2"/>
      <c r="X131" s="7">
        <f t="shared" si="23"/>
        <v>-1654.6715748500001</v>
      </c>
      <c r="Y131" s="2"/>
      <c r="Z131" s="6">
        <f t="shared" si="24"/>
        <v>-0.31101378413607295</v>
      </c>
    </row>
    <row r="132" spans="1:26" s="24" customFormat="1" hidden="1" outlineLevel="2" x14ac:dyDescent="0.25">
      <c r="A132" s="26"/>
      <c r="B132" s="11" t="str">
        <f>CONCATENATE("          ", "6115", " - ", "P.E.R.S.")</f>
        <v xml:space="preserve">          6115 - P.E.R.S.</v>
      </c>
      <c r="C132" s="11"/>
      <c r="D132" s="7">
        <v>6172.91</v>
      </c>
      <c r="E132" s="2"/>
      <c r="F132" s="6">
        <f t="shared" si="17"/>
        <v>1.4076750444810588E-2</v>
      </c>
      <c r="G132" s="2"/>
      <c r="H132" s="7">
        <v>7006.0350176923102</v>
      </c>
      <c r="I132" s="2"/>
      <c r="J132" s="6">
        <f t="shared" si="18"/>
        <v>1.2389689724694742E-2</v>
      </c>
      <c r="K132" s="2"/>
      <c r="L132" s="7">
        <f t="shared" si="19"/>
        <v>-833.12501769231039</v>
      </c>
      <c r="M132" s="2"/>
      <c r="N132" s="6">
        <f t="shared" si="20"/>
        <v>-0.11891533736106419</v>
      </c>
      <c r="O132" s="11"/>
      <c r="P132" s="7">
        <v>73870.539999999994</v>
      </c>
      <c r="Q132" s="2"/>
      <c r="R132" s="6">
        <f t="shared" si="21"/>
        <v>1.5698724105354275E-2</v>
      </c>
      <c r="S132" s="2"/>
      <c r="T132" s="7">
        <v>61161.472213692301</v>
      </c>
      <c r="U132" s="2"/>
      <c r="V132" s="6">
        <f t="shared" si="22"/>
        <v>6.993703098800522E-3</v>
      </c>
      <c r="W132" s="2"/>
      <c r="X132" s="7">
        <f t="shared" si="23"/>
        <v>12709.067786307693</v>
      </c>
      <c r="Y132" s="2"/>
      <c r="Z132" s="6">
        <f t="shared" si="24"/>
        <v>0.20779532156949121</v>
      </c>
    </row>
    <row r="133" spans="1:26" s="24" customFormat="1" hidden="1" outlineLevel="2" x14ac:dyDescent="0.25">
      <c r="A133" s="26"/>
      <c r="B133" s="11" t="str">
        <f>CONCATENATE("          ", "6116", " - ", "EDUCATIONAL BENEFITS")</f>
        <v xml:space="preserve">          6116 - EDUCATIONAL BENEFITS</v>
      </c>
      <c r="C133" s="11"/>
      <c r="D133" s="7"/>
      <c r="E133" s="2"/>
      <c r="F133" s="6">
        <f t="shared" si="17"/>
        <v>0</v>
      </c>
      <c r="G133" s="2"/>
      <c r="H133" s="7">
        <v>0</v>
      </c>
      <c r="I133" s="2"/>
      <c r="J133" s="6">
        <f t="shared" si="18"/>
        <v>0</v>
      </c>
      <c r="K133" s="2"/>
      <c r="L133" s="7">
        <f t="shared" si="19"/>
        <v>0</v>
      </c>
      <c r="M133" s="2"/>
      <c r="N133" s="6">
        <f t="shared" si="20"/>
        <v>0</v>
      </c>
      <c r="O133" s="11"/>
      <c r="P133" s="7">
        <v>0</v>
      </c>
      <c r="Q133" s="2"/>
      <c r="R133" s="6">
        <f t="shared" si="21"/>
        <v>0</v>
      </c>
      <c r="S133" s="2"/>
      <c r="T133" s="7">
        <v>0</v>
      </c>
      <c r="U133" s="2"/>
      <c r="V133" s="6">
        <f t="shared" si="22"/>
        <v>0</v>
      </c>
      <c r="W133" s="2"/>
      <c r="X133" s="7">
        <f t="shared" si="23"/>
        <v>0</v>
      </c>
      <c r="Y133" s="2"/>
      <c r="Z133" s="6">
        <f t="shared" si="24"/>
        <v>0</v>
      </c>
    </row>
    <row r="134" spans="1:26" s="24" customFormat="1" hidden="1" outlineLevel="2" x14ac:dyDescent="0.25">
      <c r="A134" s="26"/>
      <c r="B134" s="11" t="str">
        <f>CONCATENATE("          ", "6117", " - ", "RETIREMENT STAFF HOURLY")</f>
        <v xml:space="preserve">          6117 - RETIREMENT STAFF HOURLY</v>
      </c>
      <c r="C134" s="11"/>
      <c r="D134" s="7">
        <v>359.71</v>
      </c>
      <c r="E134" s="2"/>
      <c r="F134" s="6">
        <f t="shared" si="17"/>
        <v>8.202853925462734E-4</v>
      </c>
      <c r="G134" s="2"/>
      <c r="H134" s="7"/>
      <c r="I134" s="2"/>
      <c r="J134" s="6">
        <f t="shared" si="18"/>
        <v>0</v>
      </c>
      <c r="K134" s="2"/>
      <c r="L134" s="7">
        <f t="shared" si="19"/>
        <v>359.71</v>
      </c>
      <c r="M134" s="2"/>
      <c r="N134" s="6">
        <f t="shared" si="20"/>
        <v>0</v>
      </c>
      <c r="O134" s="11"/>
      <c r="P134" s="7">
        <v>3760.97</v>
      </c>
      <c r="Q134" s="2"/>
      <c r="R134" s="6">
        <f t="shared" si="21"/>
        <v>7.9926896972073395E-4</v>
      </c>
      <c r="S134" s="2"/>
      <c r="T134" s="7"/>
      <c r="U134" s="2"/>
      <c r="V134" s="6">
        <f t="shared" si="22"/>
        <v>0</v>
      </c>
      <c r="W134" s="2"/>
      <c r="X134" s="7">
        <f t="shared" si="23"/>
        <v>3760.97</v>
      </c>
      <c r="Y134" s="2"/>
      <c r="Z134" s="6">
        <f t="shared" si="24"/>
        <v>0</v>
      </c>
    </row>
    <row r="135" spans="1:26" s="24" customFormat="1" hidden="1" outlineLevel="2" x14ac:dyDescent="0.25">
      <c r="A135" s="26"/>
      <c r="B135" s="11" t="str">
        <f>CONCATENATE("          ", "6118", " - ", "VACATION")</f>
        <v xml:space="preserve">          6118 - VACATION</v>
      </c>
      <c r="C135" s="11"/>
      <c r="D135" s="7">
        <v>8608.57</v>
      </c>
      <c r="E135" s="2"/>
      <c r="F135" s="6">
        <f t="shared" si="17"/>
        <v>1.9631047848856227E-2</v>
      </c>
      <c r="G135" s="2"/>
      <c r="H135" s="7">
        <v>5463.0725153846097</v>
      </c>
      <c r="I135" s="2"/>
      <c r="J135" s="6">
        <f t="shared" si="18"/>
        <v>9.6610669570158254E-3</v>
      </c>
      <c r="K135" s="2"/>
      <c r="L135" s="7">
        <f t="shared" si="19"/>
        <v>3145.49748461539</v>
      </c>
      <c r="M135" s="2"/>
      <c r="N135" s="6">
        <f t="shared" si="20"/>
        <v>0.5757744338478622</v>
      </c>
      <c r="O135" s="11"/>
      <c r="P135" s="7">
        <v>60940.61</v>
      </c>
      <c r="Q135" s="2"/>
      <c r="R135" s="6">
        <f t="shared" si="21"/>
        <v>1.295089792496432E-2</v>
      </c>
      <c r="S135" s="2"/>
      <c r="T135" s="7">
        <v>47751.763285384601</v>
      </c>
      <c r="U135" s="2"/>
      <c r="V135" s="6">
        <f t="shared" si="22"/>
        <v>5.4603272742577771E-3</v>
      </c>
      <c r="W135" s="2"/>
      <c r="X135" s="7">
        <f t="shared" si="23"/>
        <v>13188.8467146154</v>
      </c>
      <c r="Y135" s="2"/>
      <c r="Z135" s="6">
        <f t="shared" si="24"/>
        <v>0.27619601470616512</v>
      </c>
    </row>
    <row r="136" spans="1:26" s="24" customFormat="1" hidden="1" outlineLevel="2" x14ac:dyDescent="0.25">
      <c r="A136" s="26"/>
      <c r="B136" s="11" t="str">
        <f>CONCATENATE("          ", "6119", " - ", "SICK LEAVE")</f>
        <v xml:space="preserve">          6119 - SICK LEAVE</v>
      </c>
      <c r="C136" s="11"/>
      <c r="D136" s="7">
        <v>5736.04</v>
      </c>
      <c r="E136" s="2"/>
      <c r="F136" s="6">
        <f t="shared" si="17"/>
        <v>1.3080508807264536E-2</v>
      </c>
      <c r="G136" s="2"/>
      <c r="H136" s="7">
        <v>6136.3389192307704</v>
      </c>
      <c r="I136" s="2"/>
      <c r="J136" s="6">
        <f t="shared" si="18"/>
        <v>1.0851692157239639E-2</v>
      </c>
      <c r="K136" s="2"/>
      <c r="L136" s="7">
        <f t="shared" si="19"/>
        <v>-400.29891923077048</v>
      </c>
      <c r="M136" s="2"/>
      <c r="N136" s="6">
        <f t="shared" si="20"/>
        <v>-6.5234160710430658E-2</v>
      </c>
      <c r="O136" s="11"/>
      <c r="P136" s="7">
        <v>43151.73</v>
      </c>
      <c r="Q136" s="2"/>
      <c r="R136" s="6">
        <f t="shared" si="21"/>
        <v>9.1704636779254521E-3</v>
      </c>
      <c r="S136" s="2"/>
      <c r="T136" s="7">
        <v>53812.853686730698</v>
      </c>
      <c r="U136" s="2"/>
      <c r="V136" s="6">
        <f t="shared" si="22"/>
        <v>6.1534019369130447E-3</v>
      </c>
      <c r="W136" s="2"/>
      <c r="X136" s="7">
        <f t="shared" si="23"/>
        <v>-10661.123686730694</v>
      </c>
      <c r="Y136" s="2"/>
      <c r="Z136" s="6">
        <f t="shared" si="24"/>
        <v>-0.19811481748940477</v>
      </c>
    </row>
    <row r="137" spans="1:26" s="24" customFormat="1" hidden="1" outlineLevel="2" x14ac:dyDescent="0.25">
      <c r="A137" s="26"/>
      <c r="B137" s="11" t="str">
        <f>CONCATENATE("          ", "6156", " - ", "EMPLOYEE MEALS")</f>
        <v xml:space="preserve">          6156 - EMPLOYEE MEALS</v>
      </c>
      <c r="C137" s="11"/>
      <c r="D137" s="7">
        <v>1800.16</v>
      </c>
      <c r="E137" s="2"/>
      <c r="F137" s="6">
        <f t="shared" si="17"/>
        <v>4.1050984188543537E-3</v>
      </c>
      <c r="G137" s="2"/>
      <c r="H137" s="7">
        <v>1800</v>
      </c>
      <c r="I137" s="2"/>
      <c r="J137" s="6">
        <f t="shared" si="18"/>
        <v>3.1831758545500847E-3</v>
      </c>
      <c r="K137" s="2"/>
      <c r="L137" s="7">
        <f t="shared" si="19"/>
        <v>0.16000000000008185</v>
      </c>
      <c r="M137" s="2"/>
      <c r="N137" s="6">
        <f t="shared" si="20"/>
        <v>8.8888888888934362E-5</v>
      </c>
      <c r="O137" s="11"/>
      <c r="P137" s="7">
        <v>15023</v>
      </c>
      <c r="Q137" s="2"/>
      <c r="R137" s="6">
        <f t="shared" si="21"/>
        <v>3.1926385299841761E-3</v>
      </c>
      <c r="S137" s="2"/>
      <c r="T137" s="7">
        <v>18000</v>
      </c>
      <c r="U137" s="2"/>
      <c r="V137" s="6">
        <f t="shared" si="22"/>
        <v>2.0582672591427089E-3</v>
      </c>
      <c r="W137" s="2"/>
      <c r="X137" s="7">
        <f t="shared" si="23"/>
        <v>-2977</v>
      </c>
      <c r="Y137" s="2"/>
      <c r="Z137" s="6">
        <f t="shared" si="24"/>
        <v>-0.16538888888888889</v>
      </c>
    </row>
    <row r="138" spans="1:26" s="25" customFormat="1" outlineLevel="1" collapsed="1" x14ac:dyDescent="0.25">
      <c r="A138" s="27"/>
      <c r="B138" s="13" t="str">
        <f>CONCATENATE("     ","*Payroll                                          ")</f>
        <v xml:space="preserve">     *Payroll                                          </v>
      </c>
      <c r="C138" s="13"/>
      <c r="D138" s="1">
        <f>SUM(OSRRefD22_1x_0)</f>
        <v>125797.98</v>
      </c>
      <c r="E138" s="1"/>
      <c r="F138" s="5">
        <f t="shared" ref="F138:F148" si="25">IF(D$12=0,0,D138/D$12)</f>
        <v>0.28687066082629964</v>
      </c>
      <c r="G138" s="1"/>
      <c r="H138" s="1">
        <f>SUM(OSRRefH22_1x_0)</f>
        <v>213053.71705461552</v>
      </c>
      <c r="I138" s="1"/>
      <c r="J138" s="5">
        <f t="shared" ref="J138:J148" si="26">IF(H$12=0,0,H138/H$12)</f>
        <v>0.37677080436133203</v>
      </c>
      <c r="K138" s="1"/>
      <c r="L138" s="1">
        <f t="shared" ref="L138:L148" si="27">+D138-H138</f>
        <v>-87255.737054615529</v>
      </c>
      <c r="M138" s="1"/>
      <c r="N138" s="5">
        <f t="shared" ref="N138:N148" si="28">IF(H138=0,0,L138/H138)</f>
        <v>-0.40954806262426224</v>
      </c>
      <c r="O138" s="13"/>
      <c r="P138" s="1">
        <f>SUM(OSRRefP22_1x_0)</f>
        <v>1290820.1599999999</v>
      </c>
      <c r="Q138" s="1"/>
      <c r="R138" s="5">
        <f t="shared" ref="R138:R148" si="29">IF(P$12=0,0,P138/P$12)</f>
        <v>0.27432085323146765</v>
      </c>
      <c r="S138" s="1"/>
      <c r="T138" s="1">
        <f>SUM(OSRRefT22_1x_0)</f>
        <v>1910919.324830615</v>
      </c>
      <c r="U138" s="1"/>
      <c r="V138" s="5">
        <f t="shared" ref="V138:V148" si="30">IF(T$12=0,0,T138/T$12)</f>
        <v>0.21851014895344142</v>
      </c>
      <c r="W138" s="1"/>
      <c r="X138" s="1">
        <f t="shared" ref="X138:X148" si="31">+P138-T138</f>
        <v>-620099.16483061505</v>
      </c>
      <c r="Y138" s="1"/>
      <c r="Z138" s="5">
        <f t="shared" ref="Z138:Z148" si="32">IF(T138=0,0,X138/T138)</f>
        <v>-0.32450305817362596</v>
      </c>
    </row>
    <row r="139" spans="1:26" s="24" customFormat="1" hidden="1" outlineLevel="2" x14ac:dyDescent="0.25">
      <c r="A139" s="26"/>
      <c r="B139" s="11" t="str">
        <f>CONCATENATE("          ", "6001", " - ", "ADMINISTRATIVE SALARIES")</f>
        <v xml:space="preserve">          6001 - ADMINISTRATIVE SALARIES</v>
      </c>
      <c r="C139" s="11"/>
      <c r="D139" s="7">
        <v>4416.46</v>
      </c>
      <c r="E139" s="2"/>
      <c r="F139" s="6">
        <f t="shared" si="25"/>
        <v>1.0071328639084026E-2</v>
      </c>
      <c r="G139" s="2"/>
      <c r="H139" s="7">
        <v>16309.240384615399</v>
      </c>
      <c r="I139" s="2"/>
      <c r="J139" s="6">
        <f t="shared" si="26"/>
        <v>2.8841766776867152E-2</v>
      </c>
      <c r="K139" s="2"/>
      <c r="L139" s="7">
        <f t="shared" si="27"/>
        <v>-11892.780384615398</v>
      </c>
      <c r="M139" s="2"/>
      <c r="N139" s="6">
        <f t="shared" si="28"/>
        <v>-0.72920504598325298</v>
      </c>
      <c r="O139" s="11"/>
      <c r="P139" s="7">
        <v>43192.79</v>
      </c>
      <c r="Q139" s="2"/>
      <c r="R139" s="6">
        <f t="shared" si="29"/>
        <v>9.1791896140261744E-3</v>
      </c>
      <c r="S139" s="2"/>
      <c r="T139" s="7">
        <v>143521.31538461501</v>
      </c>
      <c r="U139" s="2"/>
      <c r="V139" s="6">
        <f t="shared" si="30"/>
        <v>1.6411401358069323E-2</v>
      </c>
      <c r="W139" s="2"/>
      <c r="X139" s="7">
        <f t="shared" si="31"/>
        <v>-100328.525384615</v>
      </c>
      <c r="Y139" s="2"/>
      <c r="Z139" s="6">
        <f t="shared" si="32"/>
        <v>-0.69904965067906477</v>
      </c>
    </row>
    <row r="140" spans="1:26" s="24" customFormat="1" hidden="1" outlineLevel="2" x14ac:dyDescent="0.25">
      <c r="A140" s="26"/>
      <c r="B140" s="11" t="str">
        <f>CONCATENATE("          ", "6002", " - ", "STAFF SALARIES")</f>
        <v xml:space="preserve">          6002 - STAFF SALARIES</v>
      </c>
      <c r="C140" s="11"/>
      <c r="D140" s="7">
        <v>68299.41</v>
      </c>
      <c r="E140" s="2"/>
      <c r="F140" s="6">
        <f t="shared" si="25"/>
        <v>0.1557504888452611</v>
      </c>
      <c r="G140" s="2"/>
      <c r="H140" s="7">
        <v>57178.522570000103</v>
      </c>
      <c r="I140" s="2"/>
      <c r="J140" s="6">
        <f t="shared" si="26"/>
        <v>0.10111627357981744</v>
      </c>
      <c r="K140" s="2"/>
      <c r="L140" s="7">
        <f t="shared" si="27"/>
        <v>11120.887429999901</v>
      </c>
      <c r="M140" s="2"/>
      <c r="N140" s="6">
        <f t="shared" si="28"/>
        <v>0.19449413748641881</v>
      </c>
      <c r="O140" s="11"/>
      <c r="P140" s="7">
        <v>643003.30000000005</v>
      </c>
      <c r="Q140" s="2"/>
      <c r="R140" s="6">
        <f t="shared" si="29"/>
        <v>0.13664894564913627</v>
      </c>
      <c r="S140" s="2"/>
      <c r="T140" s="7">
        <v>498025.97131599998</v>
      </c>
      <c r="U140" s="2"/>
      <c r="V140" s="6">
        <f t="shared" si="30"/>
        <v>5.6948363942359366E-2</v>
      </c>
      <c r="W140" s="2"/>
      <c r="X140" s="7">
        <f t="shared" si="31"/>
        <v>144977.32868400007</v>
      </c>
      <c r="Y140" s="2"/>
      <c r="Z140" s="6">
        <f t="shared" si="32"/>
        <v>0.29110395247241277</v>
      </c>
    </row>
    <row r="141" spans="1:26" s="24" customFormat="1" hidden="1" outlineLevel="2" x14ac:dyDescent="0.25">
      <c r="A141" s="26"/>
      <c r="B141" s="11" t="str">
        <f>CONCATENATE("          ", "6003", " - ", "STAFF HOURLY-9 MONTH")</f>
        <v xml:space="preserve">          6003 - STAFF HOURLY-9 MONTH</v>
      </c>
      <c r="C141" s="11"/>
      <c r="D141" s="7"/>
      <c r="E141" s="2"/>
      <c r="F141" s="6">
        <f t="shared" si="25"/>
        <v>0</v>
      </c>
      <c r="G141" s="2"/>
      <c r="H141" s="7">
        <v>0</v>
      </c>
      <c r="I141" s="2"/>
      <c r="J141" s="6">
        <f t="shared" si="26"/>
        <v>0</v>
      </c>
      <c r="K141" s="2"/>
      <c r="L141" s="7">
        <f t="shared" si="27"/>
        <v>0</v>
      </c>
      <c r="M141" s="2"/>
      <c r="N141" s="6">
        <f t="shared" si="28"/>
        <v>0</v>
      </c>
      <c r="O141" s="11"/>
      <c r="P141" s="7"/>
      <c r="Q141" s="2"/>
      <c r="R141" s="6">
        <f t="shared" si="29"/>
        <v>0</v>
      </c>
      <c r="S141" s="2"/>
      <c r="T141" s="7">
        <v>0</v>
      </c>
      <c r="U141" s="2"/>
      <c r="V141" s="6">
        <f t="shared" si="30"/>
        <v>0</v>
      </c>
      <c r="W141" s="2"/>
      <c r="X141" s="7">
        <f t="shared" si="31"/>
        <v>0</v>
      </c>
      <c r="Y141" s="2"/>
      <c r="Z141" s="6">
        <f t="shared" si="32"/>
        <v>0</v>
      </c>
    </row>
    <row r="142" spans="1:26" s="24" customFormat="1" hidden="1" outlineLevel="2" x14ac:dyDescent="0.25">
      <c r="A142" s="26"/>
      <c r="B142" s="11" t="str">
        <f>CONCATENATE("          ", "6004", " - ", "STAFF HOURLY")</f>
        <v xml:space="preserve">          6004 - STAFF HOURLY</v>
      </c>
      <c r="C142" s="11"/>
      <c r="D142" s="7">
        <v>17783.84</v>
      </c>
      <c r="E142" s="2"/>
      <c r="F142" s="6">
        <f t="shared" si="25"/>
        <v>4.0554402644853133E-2</v>
      </c>
      <c r="G142" s="2"/>
      <c r="H142" s="7">
        <v>41348.4251</v>
      </c>
      <c r="I142" s="2"/>
      <c r="J142" s="6">
        <f t="shared" si="26"/>
        <v>7.312183800110704E-2</v>
      </c>
      <c r="K142" s="2"/>
      <c r="L142" s="7">
        <f t="shared" si="27"/>
        <v>-23564.5851</v>
      </c>
      <c r="M142" s="2"/>
      <c r="N142" s="6">
        <f t="shared" si="28"/>
        <v>-0.5699028449816339</v>
      </c>
      <c r="O142" s="11"/>
      <c r="P142" s="7">
        <v>155291.97</v>
      </c>
      <c r="Q142" s="2"/>
      <c r="R142" s="6">
        <f t="shared" si="29"/>
        <v>3.3002138508896141E-2</v>
      </c>
      <c r="S142" s="2"/>
      <c r="T142" s="7">
        <v>321239.19588000001</v>
      </c>
      <c r="U142" s="2"/>
      <c r="V142" s="6">
        <f t="shared" si="30"/>
        <v>3.6733117735174188E-2</v>
      </c>
      <c r="W142" s="2"/>
      <c r="X142" s="7">
        <f t="shared" si="31"/>
        <v>-165947.22588000001</v>
      </c>
      <c r="Y142" s="2"/>
      <c r="Z142" s="6">
        <f t="shared" si="32"/>
        <v>-0.51658461360982288</v>
      </c>
    </row>
    <row r="143" spans="1:26" s="24" customFormat="1" hidden="1" outlineLevel="2" x14ac:dyDescent="0.25">
      <c r="A143" s="26"/>
      <c r="B143" s="11" t="str">
        <f>CONCATENATE("          ", "6005", " - ", "TEMPORARY WAGES-HOURLY")</f>
        <v xml:space="preserve">          6005 - TEMPORARY WAGES-HOURLY</v>
      </c>
      <c r="C143" s="11"/>
      <c r="D143" s="7">
        <v>16005.07</v>
      </c>
      <c r="E143" s="2"/>
      <c r="F143" s="6">
        <f t="shared" si="25"/>
        <v>3.6498082143061314E-2</v>
      </c>
      <c r="G143" s="2"/>
      <c r="H143" s="7">
        <v>15698.94</v>
      </c>
      <c r="I143" s="2"/>
      <c r="J143" s="6">
        <f t="shared" si="26"/>
        <v>2.7762492638905838E-2</v>
      </c>
      <c r="K143" s="2"/>
      <c r="L143" s="7">
        <f t="shared" si="27"/>
        <v>306.1299999999992</v>
      </c>
      <c r="M143" s="2"/>
      <c r="N143" s="6">
        <f t="shared" si="28"/>
        <v>1.9500042678040633E-2</v>
      </c>
      <c r="O143" s="11"/>
      <c r="P143" s="7">
        <v>154364.01</v>
      </c>
      <c r="Q143" s="2"/>
      <c r="R143" s="6">
        <f t="shared" si="29"/>
        <v>3.2804931502952987E-2</v>
      </c>
      <c r="S143" s="2"/>
      <c r="T143" s="7">
        <v>92459.622000000003</v>
      </c>
      <c r="U143" s="2"/>
      <c r="V143" s="6">
        <f t="shared" si="30"/>
        <v>1.0572589597517272E-2</v>
      </c>
      <c r="W143" s="2"/>
      <c r="X143" s="7">
        <f t="shared" si="31"/>
        <v>61904.388000000006</v>
      </c>
      <c r="Y143" s="2"/>
      <c r="Z143" s="6">
        <f t="shared" si="32"/>
        <v>0.66952888905386188</v>
      </c>
    </row>
    <row r="144" spans="1:26" s="24" customFormat="1" hidden="1" outlineLevel="2" x14ac:dyDescent="0.25">
      <c r="A144" s="26"/>
      <c r="B144" s="11" t="str">
        <f>CONCATENATE("          ", "6006", " - ", "TEMPORARY PART TIME")</f>
        <v xml:space="preserve">          6006 - TEMPORARY PART TIME</v>
      </c>
      <c r="C144" s="11"/>
      <c r="D144" s="7">
        <v>2893.47</v>
      </c>
      <c r="E144" s="2"/>
      <c r="F144" s="6">
        <f t="shared" si="25"/>
        <v>6.5982907752658131E-3</v>
      </c>
      <c r="G144" s="2"/>
      <c r="H144" s="7">
        <v>0</v>
      </c>
      <c r="I144" s="2"/>
      <c r="J144" s="6">
        <f t="shared" si="26"/>
        <v>0</v>
      </c>
      <c r="K144" s="2"/>
      <c r="L144" s="7">
        <f t="shared" si="27"/>
        <v>2893.47</v>
      </c>
      <c r="M144" s="2"/>
      <c r="N144" s="6">
        <f t="shared" si="28"/>
        <v>0</v>
      </c>
      <c r="O144" s="11"/>
      <c r="P144" s="7">
        <v>16946.759999999998</v>
      </c>
      <c r="Q144" s="2"/>
      <c r="R144" s="6">
        <f t="shared" si="29"/>
        <v>3.6014696754572743E-3</v>
      </c>
      <c r="S144" s="2"/>
      <c r="T144" s="7">
        <v>0</v>
      </c>
      <c r="U144" s="2"/>
      <c r="V144" s="6">
        <f t="shared" si="30"/>
        <v>0</v>
      </c>
      <c r="W144" s="2"/>
      <c r="X144" s="7">
        <f t="shared" si="31"/>
        <v>16946.759999999998</v>
      </c>
      <c r="Y144" s="2"/>
      <c r="Z144" s="6">
        <f t="shared" si="32"/>
        <v>0</v>
      </c>
    </row>
    <row r="145" spans="1:26" s="24" customFormat="1" hidden="1" outlineLevel="2" x14ac:dyDescent="0.25">
      <c r="A145" s="26"/>
      <c r="B145" s="11" t="str">
        <f>CONCATENATE("          ", "6007", " - ", "STUDENT HOURLY")</f>
        <v xml:space="preserve">          6007 - STUDENT HOURLY</v>
      </c>
      <c r="C145" s="11"/>
      <c r="D145" s="7">
        <v>14809.4</v>
      </c>
      <c r="E145" s="2"/>
      <c r="F145" s="6">
        <f t="shared" si="25"/>
        <v>3.3771467271898982E-2</v>
      </c>
      <c r="G145" s="2"/>
      <c r="H145" s="7">
        <v>0</v>
      </c>
      <c r="I145" s="2"/>
      <c r="J145" s="6">
        <f t="shared" si="26"/>
        <v>0</v>
      </c>
      <c r="K145" s="2"/>
      <c r="L145" s="7">
        <f t="shared" si="27"/>
        <v>14809.4</v>
      </c>
      <c r="M145" s="2"/>
      <c r="N145" s="6">
        <f t="shared" si="28"/>
        <v>0</v>
      </c>
      <c r="O145" s="11"/>
      <c r="P145" s="7">
        <v>268019.38</v>
      </c>
      <c r="Q145" s="2"/>
      <c r="R145" s="6">
        <f t="shared" si="29"/>
        <v>5.6958596776307678E-2</v>
      </c>
      <c r="S145" s="2"/>
      <c r="T145" s="7">
        <v>152654.96249999999</v>
      </c>
      <c r="U145" s="2"/>
      <c r="V145" s="6">
        <f t="shared" si="30"/>
        <v>1.7455817292189334E-2</v>
      </c>
      <c r="W145" s="2"/>
      <c r="X145" s="7">
        <f t="shared" si="31"/>
        <v>115364.41750000001</v>
      </c>
      <c r="Y145" s="2"/>
      <c r="Z145" s="6">
        <f t="shared" si="32"/>
        <v>0.75572006052538265</v>
      </c>
    </row>
    <row r="146" spans="1:26" s="24" customFormat="1" hidden="1" outlineLevel="2" x14ac:dyDescent="0.25">
      <c r="A146" s="26"/>
      <c r="B146" s="11" t="str">
        <f>CONCATENATE("          ", "6008", " - ", "STUDENT HOURLY-FICA EXEMPT")</f>
        <v xml:space="preserve">          6008 - STUDENT HOURLY-FICA EXEMPT</v>
      </c>
      <c r="C146" s="11"/>
      <c r="D146" s="7">
        <v>1590.33</v>
      </c>
      <c r="E146" s="2"/>
      <c r="F146" s="6">
        <f t="shared" si="25"/>
        <v>3.6266005068753024E-3</v>
      </c>
      <c r="G146" s="2"/>
      <c r="H146" s="7">
        <v>82518.589000000007</v>
      </c>
      <c r="I146" s="2"/>
      <c r="J146" s="6">
        <f t="shared" si="26"/>
        <v>0.14592843336463457</v>
      </c>
      <c r="K146" s="2"/>
      <c r="L146" s="7">
        <f t="shared" si="27"/>
        <v>-80928.259000000005</v>
      </c>
      <c r="M146" s="2"/>
      <c r="N146" s="6">
        <f t="shared" si="28"/>
        <v>-0.98072761520437535</v>
      </c>
      <c r="O146" s="11"/>
      <c r="P146" s="7">
        <v>10001.950000000001</v>
      </c>
      <c r="Q146" s="2"/>
      <c r="R146" s="6">
        <f t="shared" si="29"/>
        <v>2.1255815046911557E-3</v>
      </c>
      <c r="S146" s="2"/>
      <c r="T146" s="7">
        <v>703018.25774999999</v>
      </c>
      <c r="U146" s="2"/>
      <c r="V146" s="6">
        <f t="shared" si="30"/>
        <v>8.0388859028131934E-2</v>
      </c>
      <c r="W146" s="2"/>
      <c r="X146" s="7">
        <f t="shared" si="31"/>
        <v>-693016.30775000004</v>
      </c>
      <c r="Y146" s="2"/>
      <c r="Z146" s="6">
        <f t="shared" si="32"/>
        <v>-0.98577284460291115</v>
      </c>
    </row>
    <row r="147" spans="1:26" s="24" customFormat="1" hidden="1" outlineLevel="2" x14ac:dyDescent="0.25">
      <c r="A147" s="26"/>
      <c r="B147" s="11" t="str">
        <f>CONCATENATE("          ", "6009", " - ", "TEMPORARY-SEASONAL")</f>
        <v xml:space="preserve">          6009 - TEMPORARY-SEASONAL</v>
      </c>
      <c r="C147" s="11"/>
      <c r="D147" s="7"/>
      <c r="E147" s="2"/>
      <c r="F147" s="6">
        <f t="shared" si="25"/>
        <v>0</v>
      </c>
      <c r="G147" s="2"/>
      <c r="H147" s="7">
        <v>0</v>
      </c>
      <c r="I147" s="2"/>
      <c r="J147" s="6">
        <f t="shared" si="26"/>
        <v>0</v>
      </c>
      <c r="K147" s="2"/>
      <c r="L147" s="7">
        <f t="shared" si="27"/>
        <v>0</v>
      </c>
      <c r="M147" s="2"/>
      <c r="N147" s="6">
        <f t="shared" si="28"/>
        <v>0</v>
      </c>
      <c r="O147" s="11"/>
      <c r="P147" s="7"/>
      <c r="Q147" s="2"/>
      <c r="R147" s="6">
        <f t="shared" si="29"/>
        <v>0</v>
      </c>
      <c r="S147" s="2"/>
      <c r="T147" s="7">
        <v>0</v>
      </c>
      <c r="U147" s="2"/>
      <c r="V147" s="6">
        <f t="shared" si="30"/>
        <v>0</v>
      </c>
      <c r="W147" s="2"/>
      <c r="X147" s="7">
        <f t="shared" si="31"/>
        <v>0</v>
      </c>
      <c r="Y147" s="2"/>
      <c r="Z147" s="6">
        <f t="shared" si="32"/>
        <v>0</v>
      </c>
    </row>
    <row r="148" spans="1:26" s="24" customFormat="1" hidden="1" outlineLevel="2" x14ac:dyDescent="0.25">
      <c r="A148" s="26"/>
      <c r="B148" s="11" t="str">
        <f>CONCATENATE("          ", "6010", " - ", "GRATUITY")</f>
        <v xml:space="preserve">          6010 - GRATUITY</v>
      </c>
      <c r="C148" s="11"/>
      <c r="D148" s="7"/>
      <c r="E148" s="2"/>
      <c r="F148" s="6">
        <f t="shared" si="25"/>
        <v>0</v>
      </c>
      <c r="G148" s="2"/>
      <c r="H148" s="7">
        <v>0</v>
      </c>
      <c r="I148" s="2"/>
      <c r="J148" s="6">
        <f t="shared" si="26"/>
        <v>0</v>
      </c>
      <c r="K148" s="2"/>
      <c r="L148" s="7">
        <f t="shared" si="27"/>
        <v>0</v>
      </c>
      <c r="M148" s="2"/>
      <c r="N148" s="6">
        <f t="shared" si="28"/>
        <v>0</v>
      </c>
      <c r="O148" s="11"/>
      <c r="P148" s="7"/>
      <c r="Q148" s="2"/>
      <c r="R148" s="6">
        <f t="shared" si="29"/>
        <v>0</v>
      </c>
      <c r="S148" s="2"/>
      <c r="T148" s="7">
        <v>0</v>
      </c>
      <c r="U148" s="2"/>
      <c r="V148" s="6">
        <f t="shared" si="30"/>
        <v>0</v>
      </c>
      <c r="W148" s="2"/>
      <c r="X148" s="7">
        <f t="shared" si="31"/>
        <v>0</v>
      </c>
      <c r="Y148" s="2"/>
      <c r="Z148" s="6">
        <f t="shared" si="32"/>
        <v>0</v>
      </c>
    </row>
    <row r="149" spans="1:26" s="25" customFormat="1" outlineLevel="1" collapsed="1" x14ac:dyDescent="0.25">
      <c r="A149" s="27"/>
      <c r="B149" s="13" t="str">
        <f>CONCATENATE("     ","Advertising/Promo                                 ")</f>
        <v xml:space="preserve">     Advertising/Promo                                 </v>
      </c>
      <c r="C149" s="13"/>
      <c r="D149" s="1">
        <f>SUM(OSRRefD22_2x_0)</f>
        <v>1313.83</v>
      </c>
      <c r="E149" s="1"/>
      <c r="F149" s="5">
        <f t="shared" ref="F149:F153" si="33">IF(D$12=0,0,D149/D$12)</f>
        <v>2.99606782488413E-3</v>
      </c>
      <c r="G149" s="1"/>
      <c r="H149" s="1">
        <f>SUM(OSRRefH22_2x_0)</f>
        <v>1160</v>
      </c>
      <c r="I149" s="1"/>
      <c r="J149" s="5">
        <f t="shared" ref="J149:J153" si="34">IF(H$12=0,0,H149/H$12)</f>
        <v>2.051379995154499E-3</v>
      </c>
      <c r="K149" s="1"/>
      <c r="L149" s="1">
        <f t="shared" ref="L149:L153" si="35">+D149-H149</f>
        <v>153.82999999999993</v>
      </c>
      <c r="M149" s="1"/>
      <c r="N149" s="5">
        <f t="shared" ref="N149:N153" si="36">IF(H149=0,0,L149/H149)</f>
        <v>0.13261206896551717</v>
      </c>
      <c r="O149" s="13"/>
      <c r="P149" s="1">
        <f>SUM(OSRRefP22_2x_0)</f>
        <v>17536.05</v>
      </c>
      <c r="Q149" s="1"/>
      <c r="R149" s="5">
        <f t="shared" ref="R149:R153" si="37">IF(P$12=0,0,P149/P$12)</f>
        <v>3.7267036473227059E-3</v>
      </c>
      <c r="S149" s="1"/>
      <c r="T149" s="1">
        <f>SUM(OSRRefT22_2x_0)</f>
        <v>15749</v>
      </c>
      <c r="U149" s="1"/>
      <c r="V149" s="5">
        <f t="shared" ref="V149:V153" si="38">IF(T$12=0,0,T149/T$12)</f>
        <v>1.8008695035688067E-3</v>
      </c>
      <c r="W149" s="1"/>
      <c r="X149" s="1">
        <f t="shared" ref="X149:X153" si="39">+P149-T149</f>
        <v>1787.0499999999993</v>
      </c>
      <c r="Y149" s="1"/>
      <c r="Z149" s="5">
        <f t="shared" ref="Z149:Z153" si="40">IF(T149=0,0,X149/T149)</f>
        <v>0.11347069655216199</v>
      </c>
    </row>
    <row r="150" spans="1:26" s="24" customFormat="1" hidden="1" outlineLevel="2" x14ac:dyDescent="0.25">
      <c r="A150" s="26"/>
      <c r="B150" s="11" t="str">
        <f>CONCATENATE("          ", "6362", " - ", "ADVERTISING EXPENSE")</f>
        <v xml:space="preserve">          6362 - ADVERTISING EXPENSE</v>
      </c>
      <c r="C150" s="11"/>
      <c r="D150" s="7">
        <v>1313.83</v>
      </c>
      <c r="E150" s="2"/>
      <c r="F150" s="6">
        <f t="shared" si="33"/>
        <v>2.99606782488413E-3</v>
      </c>
      <c r="G150" s="2"/>
      <c r="H150" s="7">
        <v>1160</v>
      </c>
      <c r="I150" s="2"/>
      <c r="J150" s="6">
        <f t="shared" si="34"/>
        <v>2.051379995154499E-3</v>
      </c>
      <c r="K150" s="2"/>
      <c r="L150" s="7">
        <f t="shared" si="35"/>
        <v>153.82999999999993</v>
      </c>
      <c r="M150" s="2"/>
      <c r="N150" s="6">
        <f t="shared" si="36"/>
        <v>0.13261206896551717</v>
      </c>
      <c r="O150" s="11"/>
      <c r="P150" s="7">
        <v>17536.05</v>
      </c>
      <c r="Q150" s="2"/>
      <c r="R150" s="6">
        <f t="shared" si="37"/>
        <v>3.7267036473227059E-3</v>
      </c>
      <c r="S150" s="2"/>
      <c r="T150" s="7">
        <v>15749</v>
      </c>
      <c r="U150" s="2"/>
      <c r="V150" s="6">
        <f t="shared" si="38"/>
        <v>1.8008695035688067E-3</v>
      </c>
      <c r="W150" s="2"/>
      <c r="X150" s="7">
        <f t="shared" si="39"/>
        <v>1787.0499999999993</v>
      </c>
      <c r="Y150" s="2"/>
      <c r="Z150" s="6">
        <f t="shared" si="40"/>
        <v>0.11347069655216199</v>
      </c>
    </row>
    <row r="151" spans="1:26" s="25" customFormat="1" outlineLevel="1" collapsed="1" x14ac:dyDescent="0.25">
      <c r="A151" s="27"/>
      <c r="B151" s="13" t="str">
        <f>CONCATENATE("     ","Bad Debts/Over/Short                              ")</f>
        <v xml:space="preserve">     Bad Debts/Over/Short                              </v>
      </c>
      <c r="C151" s="13"/>
      <c r="D151" s="1">
        <f>SUM(OSRRefD22_3x_0)</f>
        <v>-1.25</v>
      </c>
      <c r="E151" s="1"/>
      <c r="F151" s="5">
        <f t="shared" si="33"/>
        <v>-2.8505094122566564E-6</v>
      </c>
      <c r="G151" s="1"/>
      <c r="H151" s="1">
        <f>SUM(OSRRefH22_3x_0)</f>
        <v>117</v>
      </c>
      <c r="I151" s="1"/>
      <c r="J151" s="5">
        <f t="shared" si="34"/>
        <v>2.0690643054575549E-4</v>
      </c>
      <c r="K151" s="1"/>
      <c r="L151" s="1">
        <f t="shared" si="35"/>
        <v>-118.25</v>
      </c>
      <c r="M151" s="1"/>
      <c r="N151" s="5">
        <f t="shared" si="36"/>
        <v>-1.0106837606837606</v>
      </c>
      <c r="O151" s="13"/>
      <c r="P151" s="1">
        <f>SUM(OSRRefP22_3x_0)</f>
        <v>5186.01</v>
      </c>
      <c r="Q151" s="1"/>
      <c r="R151" s="5">
        <f t="shared" si="37"/>
        <v>1.1021137817269014E-3</v>
      </c>
      <c r="S151" s="1"/>
      <c r="T151" s="1">
        <f>SUM(OSRRefT22_3x_0)</f>
        <v>1179</v>
      </c>
      <c r="U151" s="1"/>
      <c r="V151" s="5">
        <f t="shared" si="38"/>
        <v>1.3481650547384744E-4</v>
      </c>
      <c r="W151" s="1"/>
      <c r="X151" s="1">
        <f t="shared" si="39"/>
        <v>4007.01</v>
      </c>
      <c r="Y151" s="1"/>
      <c r="Z151" s="5">
        <f t="shared" si="40"/>
        <v>3.3986513994910945</v>
      </c>
    </row>
    <row r="152" spans="1:26" s="24" customFormat="1" hidden="1" outlineLevel="2" x14ac:dyDescent="0.25">
      <c r="A152" s="26"/>
      <c r="B152" s="11" t="str">
        <f>CONCATENATE("          ", "6272", " - ", "CASH (OVER/SHORT)")</f>
        <v xml:space="preserve">          6272 - CASH (OVER/SHORT)</v>
      </c>
      <c r="C152" s="11"/>
      <c r="D152" s="7">
        <v>-1.25</v>
      </c>
      <c r="E152" s="2"/>
      <c r="F152" s="6">
        <f t="shared" si="33"/>
        <v>-2.8505094122566564E-6</v>
      </c>
      <c r="G152" s="2"/>
      <c r="H152" s="7">
        <v>67</v>
      </c>
      <c r="I152" s="2"/>
      <c r="J152" s="6">
        <f t="shared" si="34"/>
        <v>1.1848487903047538E-4</v>
      </c>
      <c r="K152" s="2"/>
      <c r="L152" s="7">
        <f t="shared" si="35"/>
        <v>-68.25</v>
      </c>
      <c r="M152" s="2"/>
      <c r="N152" s="6">
        <f t="shared" si="36"/>
        <v>-1.0186567164179106</v>
      </c>
      <c r="O152" s="11"/>
      <c r="P152" s="7">
        <v>-163.41</v>
      </c>
      <c r="Q152" s="2"/>
      <c r="R152" s="6">
        <f t="shared" si="37"/>
        <v>-3.4727355533829077E-5</v>
      </c>
      <c r="S152" s="2"/>
      <c r="T152" s="7">
        <v>679</v>
      </c>
      <c r="U152" s="2"/>
      <c r="V152" s="6">
        <f t="shared" si="38"/>
        <v>7.764241494210551E-5</v>
      </c>
      <c r="W152" s="2"/>
      <c r="X152" s="7">
        <f t="shared" si="39"/>
        <v>-842.41</v>
      </c>
      <c r="Y152" s="2"/>
      <c r="Z152" s="6">
        <f t="shared" si="40"/>
        <v>-1.2406627393225331</v>
      </c>
    </row>
    <row r="153" spans="1:26" s="24" customFormat="1" hidden="1" outlineLevel="2" x14ac:dyDescent="0.25">
      <c r="A153" s="26"/>
      <c r="B153" s="11" t="str">
        <f>CONCATENATE("          ", "6342", " - ", "BAD DEBT")</f>
        <v xml:space="preserve">          6342 - BAD DEBT</v>
      </c>
      <c r="C153" s="11"/>
      <c r="D153" s="7"/>
      <c r="E153" s="2"/>
      <c r="F153" s="6">
        <f t="shared" si="33"/>
        <v>0</v>
      </c>
      <c r="G153" s="2"/>
      <c r="H153" s="7">
        <v>50</v>
      </c>
      <c r="I153" s="2"/>
      <c r="J153" s="6">
        <f t="shared" si="34"/>
        <v>8.8421551515280127E-5</v>
      </c>
      <c r="K153" s="2"/>
      <c r="L153" s="7">
        <f t="shared" si="35"/>
        <v>-50</v>
      </c>
      <c r="M153" s="2"/>
      <c r="N153" s="6">
        <f t="shared" si="36"/>
        <v>-1</v>
      </c>
      <c r="O153" s="11"/>
      <c r="P153" s="7">
        <v>5349.42</v>
      </c>
      <c r="Q153" s="2"/>
      <c r="R153" s="6">
        <f t="shared" si="37"/>
        <v>1.1368411372607303E-3</v>
      </c>
      <c r="S153" s="2"/>
      <c r="T153" s="7">
        <v>500</v>
      </c>
      <c r="U153" s="2"/>
      <c r="V153" s="6">
        <f t="shared" si="38"/>
        <v>5.7174090531741912E-5</v>
      </c>
      <c r="W153" s="2"/>
      <c r="X153" s="7">
        <f t="shared" si="39"/>
        <v>4849.42</v>
      </c>
      <c r="Y153" s="2"/>
      <c r="Z153" s="6">
        <f t="shared" si="40"/>
        <v>9.6988400000000006</v>
      </c>
    </row>
    <row r="154" spans="1:26" s="25" customFormat="1" outlineLevel="1" collapsed="1" x14ac:dyDescent="0.25">
      <c r="A154" s="27"/>
      <c r="B154" s="13" t="str">
        <f>CONCATENATE("     ","Bank/card Fees                                    ")</f>
        <v xml:space="preserve">     Bank/card Fees                                    </v>
      </c>
      <c r="C154" s="13"/>
      <c r="D154" s="1">
        <f>SUM(OSRRefD22_4x_0)</f>
        <v>6047.39</v>
      </c>
      <c r="E154" s="1"/>
      <c r="F154" s="5">
        <f t="shared" ref="F154:F158" si="41">IF(D$12=0,0,D154/D$12)</f>
        <v>1.3790513691669426E-2</v>
      </c>
      <c r="G154" s="1"/>
      <c r="H154" s="1">
        <f>SUM(OSRRefH22_4x_0)</f>
        <v>24691</v>
      </c>
      <c r="I154" s="1"/>
      <c r="J154" s="5">
        <f t="shared" ref="J154:J158" si="42">IF(H$12=0,0,H154/H$12)</f>
        <v>4.3664330569275635E-2</v>
      </c>
      <c r="K154" s="1"/>
      <c r="L154" s="1">
        <f t="shared" ref="L154:L158" si="43">+D154-H154</f>
        <v>-18643.61</v>
      </c>
      <c r="M154" s="1"/>
      <c r="N154" s="5">
        <f t="shared" ref="N154:N158" si="44">IF(H154=0,0,L154/H154)</f>
        <v>-0.75507715361872751</v>
      </c>
      <c r="O154" s="13"/>
      <c r="P154" s="1">
        <f>SUM(OSRRefP22_4x_0)</f>
        <v>76960.58</v>
      </c>
      <c r="Q154" s="1"/>
      <c r="R154" s="5">
        <f t="shared" ref="R154:R158" si="45">IF(P$12=0,0,P154/P$12)</f>
        <v>1.6355409239028795E-2</v>
      </c>
      <c r="S154" s="1"/>
      <c r="T154" s="1">
        <f>SUM(OSRRefT22_4x_0)</f>
        <v>231786</v>
      </c>
      <c r="U154" s="1"/>
      <c r="V154" s="5">
        <f t="shared" ref="V154:V158" si="46">IF(T$12=0,0,T154/T$12)</f>
        <v>2.6504307495980661E-2</v>
      </c>
      <c r="W154" s="1"/>
      <c r="X154" s="1">
        <f t="shared" ref="X154:X158" si="47">+P154-T154</f>
        <v>-154825.41999999998</v>
      </c>
      <c r="Y154" s="1"/>
      <c r="Z154" s="5">
        <f t="shared" ref="Z154:Z158" si="48">IF(T154=0,0,X154/T154)</f>
        <v>-0.66796709033332469</v>
      </c>
    </row>
    <row r="155" spans="1:26" s="24" customFormat="1" hidden="1" outlineLevel="2" x14ac:dyDescent="0.25">
      <c r="A155" s="26"/>
      <c r="B155" s="11" t="str">
        <f>CONCATENATE("          ", "6381", " - ", "BANK/CREDIT CARD FEES")</f>
        <v xml:space="preserve">          6381 - BANK/CREDIT CARD FEES</v>
      </c>
      <c r="C155" s="11"/>
      <c r="D155" s="7">
        <v>6047.39</v>
      </c>
      <c r="E155" s="2"/>
      <c r="F155" s="6">
        <f t="shared" si="41"/>
        <v>1.3790513691669426E-2</v>
      </c>
      <c r="G155" s="2"/>
      <c r="H155" s="7">
        <v>24691</v>
      </c>
      <c r="I155" s="2"/>
      <c r="J155" s="6">
        <f t="shared" si="42"/>
        <v>4.3664330569275635E-2</v>
      </c>
      <c r="K155" s="2"/>
      <c r="L155" s="7">
        <f t="shared" si="43"/>
        <v>-18643.61</v>
      </c>
      <c r="M155" s="2"/>
      <c r="N155" s="6">
        <f t="shared" si="44"/>
        <v>-0.75507715361872751</v>
      </c>
      <c r="O155" s="11"/>
      <c r="P155" s="7">
        <v>76960.58</v>
      </c>
      <c r="Q155" s="2"/>
      <c r="R155" s="6">
        <f t="shared" si="45"/>
        <v>1.6355409239028795E-2</v>
      </c>
      <c r="S155" s="2"/>
      <c r="T155" s="7">
        <v>231786</v>
      </c>
      <c r="U155" s="2"/>
      <c r="V155" s="6">
        <f t="shared" si="46"/>
        <v>2.6504307495980661E-2</v>
      </c>
      <c r="W155" s="2"/>
      <c r="X155" s="7">
        <f t="shared" si="47"/>
        <v>-154825.41999999998</v>
      </c>
      <c r="Y155" s="2"/>
      <c r="Z155" s="6">
        <f t="shared" si="48"/>
        <v>-0.66796709033332469</v>
      </c>
    </row>
    <row r="156" spans="1:26" s="25" customFormat="1" outlineLevel="1" collapsed="1" x14ac:dyDescent="0.25">
      <c r="A156" s="27"/>
      <c r="B156" s="13" t="str">
        <f>CONCATENATE("     ","Depreciation                                      ")</f>
        <v xml:space="preserve">     Depreciation                                      </v>
      </c>
      <c r="C156" s="13"/>
      <c r="D156" s="1">
        <f>SUM(OSRRefD22_5x_0)</f>
        <v>39887.94</v>
      </c>
      <c r="E156" s="1"/>
      <c r="F156" s="5">
        <f t="shared" si="41"/>
        <v>9.0960758724423024E-2</v>
      </c>
      <c r="G156" s="1"/>
      <c r="H156" s="1">
        <f>SUM(OSRRefH22_5x_0)</f>
        <v>38857</v>
      </c>
      <c r="I156" s="1"/>
      <c r="J156" s="5">
        <f t="shared" si="42"/>
        <v>6.8715924544584805E-2</v>
      </c>
      <c r="K156" s="1"/>
      <c r="L156" s="1">
        <f t="shared" si="43"/>
        <v>1030.9400000000023</v>
      </c>
      <c r="M156" s="1"/>
      <c r="N156" s="5">
        <f t="shared" si="44"/>
        <v>2.6531641660447341E-2</v>
      </c>
      <c r="O156" s="13"/>
      <c r="P156" s="1">
        <f>SUM(OSRRefP22_5x_0)</f>
        <v>399356.17</v>
      </c>
      <c r="Q156" s="1"/>
      <c r="R156" s="5">
        <f t="shared" si="45"/>
        <v>8.4869859251075722E-2</v>
      </c>
      <c r="S156" s="1"/>
      <c r="T156" s="1">
        <f>SUM(OSRRefT22_5x_0)</f>
        <v>390026</v>
      </c>
      <c r="U156" s="1"/>
      <c r="V156" s="5">
        <f t="shared" si="46"/>
        <v>4.4598763667466339E-2</v>
      </c>
      <c r="W156" s="1"/>
      <c r="X156" s="1">
        <f t="shared" si="47"/>
        <v>9330.1699999999837</v>
      </c>
      <c r="Y156" s="1"/>
      <c r="Z156" s="5">
        <f t="shared" si="48"/>
        <v>2.3921918025977713E-2</v>
      </c>
    </row>
    <row r="157" spans="1:26" s="24" customFormat="1" hidden="1" outlineLevel="2" x14ac:dyDescent="0.25">
      <c r="A157" s="26"/>
      <c r="B157" s="11" t="str">
        <f>CONCATENATE("          ", "6321", " - ", "BUILDING DEPRECIATION")</f>
        <v xml:space="preserve">          6321 - BUILDING DEPRECIATION</v>
      </c>
      <c r="C157" s="11"/>
      <c r="D157" s="7">
        <v>21477.03</v>
      </c>
      <c r="E157" s="2"/>
      <c r="F157" s="6">
        <f t="shared" si="41"/>
        <v>4.8976380929854853E-2</v>
      </c>
      <c r="G157" s="2"/>
      <c r="H157" s="7"/>
      <c r="I157" s="2"/>
      <c r="J157" s="6">
        <f t="shared" si="42"/>
        <v>0</v>
      </c>
      <c r="K157" s="2"/>
      <c r="L157" s="7">
        <f t="shared" si="43"/>
        <v>21477.03</v>
      </c>
      <c r="M157" s="2"/>
      <c r="N157" s="6">
        <f t="shared" si="44"/>
        <v>0</v>
      </c>
      <c r="O157" s="11"/>
      <c r="P157" s="7">
        <v>214770.3</v>
      </c>
      <c r="Q157" s="2"/>
      <c r="R157" s="6">
        <f t="shared" si="45"/>
        <v>4.5642277499584667E-2</v>
      </c>
      <c r="S157" s="2"/>
      <c r="T157" s="7"/>
      <c r="U157" s="2"/>
      <c r="V157" s="6">
        <f t="shared" si="46"/>
        <v>0</v>
      </c>
      <c r="W157" s="2"/>
      <c r="X157" s="7">
        <f t="shared" si="47"/>
        <v>214770.3</v>
      </c>
      <c r="Y157" s="2"/>
      <c r="Z157" s="6">
        <f t="shared" si="48"/>
        <v>0</v>
      </c>
    </row>
    <row r="158" spans="1:26" s="24" customFormat="1" hidden="1" outlineLevel="2" x14ac:dyDescent="0.25">
      <c r="A158" s="26"/>
      <c r="B158" s="11" t="str">
        <f>CONCATENATE("          ", "6322", " - ", "EQUIPMENT DEPRECIATION EXPENSE")</f>
        <v xml:space="preserve">          6322 - EQUIPMENT DEPRECIATION EXPENSE</v>
      </c>
      <c r="C158" s="11"/>
      <c r="D158" s="7">
        <v>18410.91</v>
      </c>
      <c r="E158" s="2"/>
      <c r="F158" s="6">
        <f t="shared" si="41"/>
        <v>4.1984377794568158E-2</v>
      </c>
      <c r="G158" s="2"/>
      <c r="H158" s="7">
        <v>38857</v>
      </c>
      <c r="I158" s="2"/>
      <c r="J158" s="6">
        <f t="shared" si="42"/>
        <v>6.8715924544584805E-2</v>
      </c>
      <c r="K158" s="2"/>
      <c r="L158" s="7">
        <f t="shared" si="43"/>
        <v>-20446.09</v>
      </c>
      <c r="M158" s="2"/>
      <c r="N158" s="6">
        <f t="shared" si="44"/>
        <v>-0.52618807422086111</v>
      </c>
      <c r="O158" s="11"/>
      <c r="P158" s="7">
        <v>184585.87</v>
      </c>
      <c r="Q158" s="2"/>
      <c r="R158" s="6">
        <f t="shared" si="45"/>
        <v>3.9227581751491061E-2</v>
      </c>
      <c r="S158" s="2"/>
      <c r="T158" s="7">
        <v>390026</v>
      </c>
      <c r="U158" s="2"/>
      <c r="V158" s="6">
        <f t="shared" si="46"/>
        <v>4.4598763667466339E-2</v>
      </c>
      <c r="W158" s="2"/>
      <c r="X158" s="7">
        <f t="shared" si="47"/>
        <v>-205440.13</v>
      </c>
      <c r="Y158" s="2"/>
      <c r="Z158" s="6">
        <f t="shared" si="48"/>
        <v>-0.52673444847266593</v>
      </c>
    </row>
    <row r="159" spans="1:26" s="25" customFormat="1" outlineLevel="1" collapsed="1" x14ac:dyDescent="0.25">
      <c r="A159" s="27"/>
      <c r="B159" s="13" t="str">
        <f>CONCATENATE("     ","Discounts and Markdowns                           ")</f>
        <v xml:space="preserve">     Discounts and Markdowns                           </v>
      </c>
      <c r="C159" s="13"/>
      <c r="D159" s="1">
        <f>SUM(OSRRefD22_6x_0)</f>
        <v>-15.43</v>
      </c>
      <c r="E159" s="1"/>
      <c r="F159" s="5">
        <f t="shared" ref="F159:F161" si="49">IF(D$12=0,0,D159/D$12)</f>
        <v>-3.5186688184896166E-5</v>
      </c>
      <c r="G159" s="1"/>
      <c r="H159" s="1">
        <f>SUM(OSRRefH22_6x_0)</f>
        <v>32182</v>
      </c>
      <c r="I159" s="1"/>
      <c r="J159" s="5">
        <f t="shared" ref="J159:J161" si="50">IF(H$12=0,0,H159/H$12)</f>
        <v>5.6911647417294903E-2</v>
      </c>
      <c r="K159" s="1"/>
      <c r="L159" s="1">
        <f t="shared" ref="L159:L161" si="51">+D159-H159</f>
        <v>-32197.43</v>
      </c>
      <c r="M159" s="1"/>
      <c r="N159" s="5">
        <f t="shared" ref="N159:N161" si="52">IF(H159=0,0,L159/H159)</f>
        <v>-1.0004794605680194</v>
      </c>
      <c r="O159" s="13"/>
      <c r="P159" s="1">
        <f>SUM(OSRRefP22_6x_0)</f>
        <v>-15.43</v>
      </c>
      <c r="Q159" s="1"/>
      <c r="R159" s="5">
        <f t="shared" ref="R159:R161" si="53">IF(P$12=0,0,P159/P$12)</f>
        <v>-3.2791328308364399E-6</v>
      </c>
      <c r="S159" s="1"/>
      <c r="T159" s="1">
        <f>SUM(OSRRefT22_6x_0)</f>
        <v>280802</v>
      </c>
      <c r="U159" s="1"/>
      <c r="V159" s="5">
        <f t="shared" ref="V159:V161" si="54">IF(T$12=0,0,T159/T$12)</f>
        <v>3.2109197938988386E-2</v>
      </c>
      <c r="W159" s="1"/>
      <c r="X159" s="1">
        <f t="shared" ref="X159:X161" si="55">+P159-T159</f>
        <v>-280817.43</v>
      </c>
      <c r="Y159" s="1"/>
      <c r="Z159" s="5">
        <f t="shared" ref="Z159:Z161" si="56">IF(T159=0,0,X159/T159)</f>
        <v>-1.0000549497510702</v>
      </c>
    </row>
    <row r="160" spans="1:26" s="24" customFormat="1" hidden="1" outlineLevel="2" x14ac:dyDescent="0.25">
      <c r="A160" s="26"/>
      <c r="B160" s="11" t="str">
        <f>CONCATENATE("          ", "6382", " - ", "DISCOUNTS/MARK DOWNS")</f>
        <v xml:space="preserve">          6382 - DISCOUNTS/MARK DOWNS</v>
      </c>
      <c r="C160" s="11"/>
      <c r="D160" s="7">
        <v>0</v>
      </c>
      <c r="E160" s="2"/>
      <c r="F160" s="6">
        <f t="shared" si="49"/>
        <v>0</v>
      </c>
      <c r="G160" s="2"/>
      <c r="H160" s="7">
        <v>32182</v>
      </c>
      <c r="I160" s="2"/>
      <c r="J160" s="6">
        <f t="shared" si="50"/>
        <v>5.6911647417294903E-2</v>
      </c>
      <c r="K160" s="2"/>
      <c r="L160" s="7">
        <f t="shared" si="51"/>
        <v>-32182</v>
      </c>
      <c r="M160" s="2"/>
      <c r="N160" s="6">
        <f t="shared" si="52"/>
        <v>-1</v>
      </c>
      <c r="O160" s="11"/>
      <c r="P160" s="7">
        <v>0</v>
      </c>
      <c r="Q160" s="2"/>
      <c r="R160" s="6">
        <f t="shared" si="53"/>
        <v>0</v>
      </c>
      <c r="S160" s="2"/>
      <c r="T160" s="7">
        <v>280802</v>
      </c>
      <c r="U160" s="2"/>
      <c r="V160" s="6">
        <f t="shared" si="54"/>
        <v>3.2109197938988386E-2</v>
      </c>
      <c r="W160" s="2"/>
      <c r="X160" s="7">
        <f t="shared" si="55"/>
        <v>-280802</v>
      </c>
      <c r="Y160" s="2"/>
      <c r="Z160" s="6">
        <f t="shared" si="56"/>
        <v>-1</v>
      </c>
    </row>
    <row r="161" spans="1:26" s="24" customFormat="1" hidden="1" outlineLevel="2" x14ac:dyDescent="0.25">
      <c r="A161" s="26"/>
      <c r="B161" s="11" t="str">
        <f>CONCATENATE("          ", "9175", " - ", "EARNED DISCOUNTS")</f>
        <v xml:space="preserve">          9175 - EARNED DISCOUNTS</v>
      </c>
      <c r="C161" s="11"/>
      <c r="D161" s="7">
        <v>-15.43</v>
      </c>
      <c r="E161" s="2"/>
      <c r="F161" s="6">
        <f t="shared" si="49"/>
        <v>-3.5186688184896166E-5</v>
      </c>
      <c r="G161" s="2"/>
      <c r="H161" s="7"/>
      <c r="I161" s="2"/>
      <c r="J161" s="6">
        <f t="shared" si="50"/>
        <v>0</v>
      </c>
      <c r="K161" s="2"/>
      <c r="L161" s="7">
        <f t="shared" si="51"/>
        <v>-15.43</v>
      </c>
      <c r="M161" s="2"/>
      <c r="N161" s="6">
        <f t="shared" si="52"/>
        <v>0</v>
      </c>
      <c r="O161" s="11"/>
      <c r="P161" s="7">
        <v>-15.43</v>
      </c>
      <c r="Q161" s="2"/>
      <c r="R161" s="6">
        <f t="shared" si="53"/>
        <v>-3.2791328308364399E-6</v>
      </c>
      <c r="S161" s="2"/>
      <c r="T161" s="7"/>
      <c r="U161" s="2"/>
      <c r="V161" s="6">
        <f t="shared" si="54"/>
        <v>0</v>
      </c>
      <c r="W161" s="2"/>
      <c r="X161" s="7">
        <f t="shared" si="55"/>
        <v>-15.43</v>
      </c>
      <c r="Y161" s="2"/>
      <c r="Z161" s="6">
        <f t="shared" si="56"/>
        <v>0</v>
      </c>
    </row>
    <row r="162" spans="1:26" s="25" customFormat="1" outlineLevel="1" collapsed="1" x14ac:dyDescent="0.25">
      <c r="A162" s="27"/>
      <c r="B162" s="13" t="str">
        <f>CONCATENATE("     ","Donations                                         ")</f>
        <v xml:space="preserve">     Donations                                         </v>
      </c>
      <c r="C162" s="13"/>
      <c r="D162" s="1">
        <f>SUM(OSRRefD22_7x_0)</f>
        <v>360.9</v>
      </c>
      <c r="E162" s="1"/>
      <c r="F162" s="5">
        <f t="shared" ref="F162:F164" si="57">IF(D$12=0,0,D162/D$12)</f>
        <v>8.2299907750674173E-4</v>
      </c>
      <c r="G162" s="1"/>
      <c r="H162" s="1">
        <f>SUM(OSRRefH22_7x_0)</f>
        <v>1000</v>
      </c>
      <c r="I162" s="1"/>
      <c r="J162" s="5">
        <f t="shared" ref="J162:J164" si="58">IF(H$12=0,0,H162/H$12)</f>
        <v>1.7684310303056026E-3</v>
      </c>
      <c r="K162" s="1"/>
      <c r="L162" s="1">
        <f t="shared" ref="L162:L164" si="59">+D162-H162</f>
        <v>-639.1</v>
      </c>
      <c r="M162" s="1"/>
      <c r="N162" s="5">
        <f t="shared" ref="N162:N164" si="60">IF(H162=0,0,L162/H162)</f>
        <v>-0.6391</v>
      </c>
      <c r="O162" s="13"/>
      <c r="P162" s="1">
        <f>SUM(OSRRefP22_7x_0)</f>
        <v>360.9</v>
      </c>
      <c r="Q162" s="1"/>
      <c r="R162" s="5">
        <f t="shared" ref="R162:R164" si="61">IF(P$12=0,0,P162/P$12)</f>
        <v>7.6697280534599553E-5</v>
      </c>
      <c r="S162" s="1"/>
      <c r="T162" s="1">
        <f>SUM(OSRRefT22_7x_0)</f>
        <v>10000</v>
      </c>
      <c r="U162" s="1"/>
      <c r="V162" s="5">
        <f t="shared" ref="V162:V164" si="62">IF(T$12=0,0,T162/T$12)</f>
        <v>1.1434818106348381E-3</v>
      </c>
      <c r="W162" s="1"/>
      <c r="X162" s="1">
        <f t="shared" ref="X162:X164" si="63">+P162-T162</f>
        <v>-9639.1</v>
      </c>
      <c r="Y162" s="1"/>
      <c r="Z162" s="5">
        <f t="shared" ref="Z162:Z164" si="64">IF(T162=0,0,X162/T162)</f>
        <v>-0.96391000000000004</v>
      </c>
    </row>
    <row r="163" spans="1:26" s="24" customFormat="1" hidden="1" outlineLevel="2" x14ac:dyDescent="0.25">
      <c r="A163" s="26"/>
      <c r="B163" s="11" t="str">
        <f>CONCATENATE("          ", "6395", " - ", "DONATION-OFF CAMPUS")</f>
        <v xml:space="preserve">          6395 - DONATION-OFF CAMPUS</v>
      </c>
      <c r="C163" s="11"/>
      <c r="D163" s="7"/>
      <c r="E163" s="2"/>
      <c r="F163" s="6">
        <f t="shared" si="57"/>
        <v>0</v>
      </c>
      <c r="G163" s="2"/>
      <c r="H163" s="7"/>
      <c r="I163" s="2"/>
      <c r="J163" s="6">
        <f t="shared" si="58"/>
        <v>0</v>
      </c>
      <c r="K163" s="2"/>
      <c r="L163" s="7">
        <f t="shared" si="59"/>
        <v>0</v>
      </c>
      <c r="M163" s="2"/>
      <c r="N163" s="6">
        <f t="shared" si="60"/>
        <v>0</v>
      </c>
      <c r="O163" s="11"/>
      <c r="P163" s="7"/>
      <c r="Q163" s="2"/>
      <c r="R163" s="6">
        <f t="shared" si="61"/>
        <v>0</v>
      </c>
      <c r="S163" s="2"/>
      <c r="T163" s="7">
        <v>0</v>
      </c>
      <c r="U163" s="2"/>
      <c r="V163" s="6">
        <f t="shared" si="62"/>
        <v>0</v>
      </c>
      <c r="W163" s="2"/>
      <c r="X163" s="7">
        <f t="shared" si="63"/>
        <v>0</v>
      </c>
      <c r="Y163" s="2"/>
      <c r="Z163" s="6">
        <f t="shared" si="64"/>
        <v>0</v>
      </c>
    </row>
    <row r="164" spans="1:26" s="24" customFormat="1" hidden="1" outlineLevel="2" x14ac:dyDescent="0.25">
      <c r="A164" s="26"/>
      <c r="B164" s="11" t="str">
        <f>CONCATENATE("          ", "6399", " - ", "DONATION-ON CAMPUS")</f>
        <v xml:space="preserve">          6399 - DONATION-ON CAMPUS</v>
      </c>
      <c r="C164" s="11"/>
      <c r="D164" s="7">
        <v>360.9</v>
      </c>
      <c r="E164" s="2"/>
      <c r="F164" s="6">
        <f t="shared" si="57"/>
        <v>8.2299907750674173E-4</v>
      </c>
      <c r="G164" s="2"/>
      <c r="H164" s="7">
        <v>1000</v>
      </c>
      <c r="I164" s="2"/>
      <c r="J164" s="6">
        <f t="shared" si="58"/>
        <v>1.7684310303056026E-3</v>
      </c>
      <c r="K164" s="2"/>
      <c r="L164" s="7">
        <f t="shared" si="59"/>
        <v>-639.1</v>
      </c>
      <c r="M164" s="2"/>
      <c r="N164" s="6">
        <f t="shared" si="60"/>
        <v>-0.6391</v>
      </c>
      <c r="O164" s="11"/>
      <c r="P164" s="7">
        <v>360.9</v>
      </c>
      <c r="Q164" s="2"/>
      <c r="R164" s="6">
        <f t="shared" si="61"/>
        <v>7.6697280534599553E-5</v>
      </c>
      <c r="S164" s="2"/>
      <c r="T164" s="7">
        <v>10000</v>
      </c>
      <c r="U164" s="2"/>
      <c r="V164" s="6">
        <f t="shared" si="62"/>
        <v>1.1434818106348381E-3</v>
      </c>
      <c r="W164" s="2"/>
      <c r="X164" s="7">
        <f t="shared" si="63"/>
        <v>-9639.1</v>
      </c>
      <c r="Y164" s="2"/>
      <c r="Z164" s="6">
        <f t="shared" si="64"/>
        <v>-0.96391000000000004</v>
      </c>
    </row>
    <row r="165" spans="1:26" s="25" customFormat="1" outlineLevel="1" collapsed="1" x14ac:dyDescent="0.25">
      <c r="A165" s="27"/>
      <c r="B165" s="13" t="str">
        <f>CONCATENATE("     ","Employees' Appreciation                           ")</f>
        <v xml:space="preserve">     Employees' Appreciation                           </v>
      </c>
      <c r="C165" s="13"/>
      <c r="D165" s="1">
        <f>SUM(OSRRefD22_8x_0)</f>
        <v>0</v>
      </c>
      <c r="E165" s="1"/>
      <c r="F165" s="5">
        <f t="shared" ref="F165:F171" si="65">IF(D$12=0,0,D165/D$12)</f>
        <v>0</v>
      </c>
      <c r="G165" s="1"/>
      <c r="H165" s="1">
        <f>SUM(OSRRefH22_8x_0)</f>
        <v>500</v>
      </c>
      <c r="I165" s="1"/>
      <c r="J165" s="5">
        <f t="shared" ref="J165:J171" si="66">IF(H$12=0,0,H165/H$12)</f>
        <v>8.8421551515280132E-4</v>
      </c>
      <c r="K165" s="1"/>
      <c r="L165" s="1">
        <f t="shared" ref="L165:L171" si="67">+D165-H165</f>
        <v>-500</v>
      </c>
      <c r="M165" s="1"/>
      <c r="N165" s="5">
        <f t="shared" ref="N165:N171" si="68">IF(H165=0,0,L165/H165)</f>
        <v>-1</v>
      </c>
      <c r="O165" s="13"/>
      <c r="P165" s="1">
        <f>SUM(OSRRefP22_8x_0)</f>
        <v>186.03</v>
      </c>
      <c r="Q165" s="1"/>
      <c r="R165" s="5">
        <f t="shared" ref="R165:R171" si="69">IF(P$12=0,0,P165/P$12)</f>
        <v>3.9534483507485607E-5</v>
      </c>
      <c r="S165" s="1"/>
      <c r="T165" s="1">
        <f>SUM(OSRRefT22_8x_0)</f>
        <v>4250</v>
      </c>
      <c r="U165" s="1"/>
      <c r="V165" s="5">
        <f t="shared" ref="V165:V171" si="70">IF(T$12=0,0,T165/T$12)</f>
        <v>4.8597976951980626E-4</v>
      </c>
      <c r="W165" s="1"/>
      <c r="X165" s="1">
        <f t="shared" ref="X165:X171" si="71">+P165-T165</f>
        <v>-4063.97</v>
      </c>
      <c r="Y165" s="1"/>
      <c r="Z165" s="5">
        <f t="shared" ref="Z165:Z171" si="72">IF(T165=0,0,X165/T165)</f>
        <v>-0.9562282352941176</v>
      </c>
    </row>
    <row r="166" spans="1:26" s="24" customFormat="1" hidden="1" outlineLevel="2" x14ac:dyDescent="0.25">
      <c r="A166" s="26"/>
      <c r="B166" s="11" t="str">
        <f>CONCATENATE("          ", "6277", " - ", "EMPLOYEE APPRECIATION")</f>
        <v xml:space="preserve">          6277 - EMPLOYEE APPRECIATION</v>
      </c>
      <c r="C166" s="11"/>
      <c r="D166" s="7"/>
      <c r="E166" s="2"/>
      <c r="F166" s="6">
        <f t="shared" si="65"/>
        <v>0</v>
      </c>
      <c r="G166" s="2"/>
      <c r="H166" s="7">
        <v>500</v>
      </c>
      <c r="I166" s="2"/>
      <c r="J166" s="6">
        <f t="shared" si="66"/>
        <v>8.8421551515280132E-4</v>
      </c>
      <c r="K166" s="2"/>
      <c r="L166" s="7">
        <f t="shared" si="67"/>
        <v>-500</v>
      </c>
      <c r="M166" s="2"/>
      <c r="N166" s="6">
        <f t="shared" si="68"/>
        <v>-1</v>
      </c>
      <c r="O166" s="11"/>
      <c r="P166" s="7">
        <v>186.03</v>
      </c>
      <c r="Q166" s="2"/>
      <c r="R166" s="6">
        <f t="shared" si="69"/>
        <v>3.9534483507485607E-5</v>
      </c>
      <c r="S166" s="2"/>
      <c r="T166" s="7">
        <v>4250</v>
      </c>
      <c r="U166" s="2"/>
      <c r="V166" s="6">
        <f t="shared" si="70"/>
        <v>4.8597976951980626E-4</v>
      </c>
      <c r="W166" s="2"/>
      <c r="X166" s="7">
        <f t="shared" si="71"/>
        <v>-4063.97</v>
      </c>
      <c r="Y166" s="2"/>
      <c r="Z166" s="6">
        <f t="shared" si="72"/>
        <v>-0.9562282352941176</v>
      </c>
    </row>
    <row r="167" spans="1:26" s="25" customFormat="1" outlineLevel="1" collapsed="1" x14ac:dyDescent="0.25">
      <c r="A167" s="27"/>
      <c r="B167" s="13" t="str">
        <f>CONCATENATE("     ","Equipment Rental                                  ")</f>
        <v xml:space="preserve">     Equipment Rental                                  </v>
      </c>
      <c r="C167" s="13"/>
      <c r="D167" s="1">
        <f>SUM(OSRRefD22_9x_0)</f>
        <v>1564.56</v>
      </c>
      <c r="E167" s="1"/>
      <c r="F167" s="5">
        <f t="shared" si="65"/>
        <v>3.5678344048322192E-3</v>
      </c>
      <c r="G167" s="1"/>
      <c r="H167" s="1">
        <f>SUM(OSRRefH22_9x_0)</f>
        <v>3152</v>
      </c>
      <c r="I167" s="1"/>
      <c r="J167" s="5">
        <f t="shared" si="66"/>
        <v>5.5740946075232591E-3</v>
      </c>
      <c r="K167" s="1"/>
      <c r="L167" s="1">
        <f t="shared" si="67"/>
        <v>-1587.44</v>
      </c>
      <c r="M167" s="1"/>
      <c r="N167" s="5">
        <f t="shared" si="68"/>
        <v>-0.50362944162436551</v>
      </c>
      <c r="O167" s="13"/>
      <c r="P167" s="1">
        <f>SUM(OSRRefP22_9x_0)</f>
        <v>15451.52</v>
      </c>
      <c r="Q167" s="1"/>
      <c r="R167" s="5">
        <f t="shared" si="69"/>
        <v>3.2837061904294148E-3</v>
      </c>
      <c r="S167" s="1"/>
      <c r="T167" s="1">
        <f>SUM(OSRRefT22_9x_0)</f>
        <v>31082</v>
      </c>
      <c r="U167" s="1"/>
      <c r="V167" s="5">
        <f t="shared" si="70"/>
        <v>3.5541701638152042E-3</v>
      </c>
      <c r="W167" s="1"/>
      <c r="X167" s="1">
        <f t="shared" si="71"/>
        <v>-15630.48</v>
      </c>
      <c r="Y167" s="1"/>
      <c r="Z167" s="5">
        <f t="shared" si="72"/>
        <v>-0.50287883662569977</v>
      </c>
    </row>
    <row r="168" spans="1:26" s="24" customFormat="1" hidden="1" outlineLevel="2" x14ac:dyDescent="0.25">
      <c r="A168" s="26"/>
      <c r="B168" s="11" t="str">
        <f>CONCATENATE("          ", "6351", " - ", "EQUIPMENT RENTAL")</f>
        <v xml:space="preserve">          6351 - EQUIPMENT RENTAL</v>
      </c>
      <c r="C168" s="11"/>
      <c r="D168" s="7">
        <v>1564.56</v>
      </c>
      <c r="E168" s="2"/>
      <c r="F168" s="6">
        <f t="shared" si="65"/>
        <v>3.5678344048322192E-3</v>
      </c>
      <c r="G168" s="2"/>
      <c r="H168" s="7">
        <v>3152</v>
      </c>
      <c r="I168" s="2"/>
      <c r="J168" s="6">
        <f t="shared" si="66"/>
        <v>5.5740946075232591E-3</v>
      </c>
      <c r="K168" s="2"/>
      <c r="L168" s="7">
        <f t="shared" si="67"/>
        <v>-1587.44</v>
      </c>
      <c r="M168" s="2"/>
      <c r="N168" s="6">
        <f t="shared" si="68"/>
        <v>-0.50362944162436551</v>
      </c>
      <c r="O168" s="11"/>
      <c r="P168" s="7">
        <v>15451.52</v>
      </c>
      <c r="Q168" s="2"/>
      <c r="R168" s="6">
        <f t="shared" si="69"/>
        <v>3.2837061904294148E-3</v>
      </c>
      <c r="S168" s="2"/>
      <c r="T168" s="7">
        <v>31082</v>
      </c>
      <c r="U168" s="2"/>
      <c r="V168" s="6">
        <f t="shared" si="70"/>
        <v>3.5541701638152042E-3</v>
      </c>
      <c r="W168" s="2"/>
      <c r="X168" s="7">
        <f t="shared" si="71"/>
        <v>-15630.48</v>
      </c>
      <c r="Y168" s="2"/>
      <c r="Z168" s="6">
        <f t="shared" si="72"/>
        <v>-0.50287883662569977</v>
      </c>
    </row>
    <row r="169" spans="1:26" s="25" customFormat="1" outlineLevel="1" collapsed="1" x14ac:dyDescent="0.25">
      <c r="A169" s="27"/>
      <c r="B169" s="13" t="str">
        <f>CONCATENATE("     ","Freight out/Postage                               ")</f>
        <v xml:space="preserve">     Freight out/Postage                               </v>
      </c>
      <c r="C169" s="13"/>
      <c r="D169" s="1">
        <f>SUM(OSRRefD22_10x_0)</f>
        <v>-12484.620000000003</v>
      </c>
      <c r="E169" s="1"/>
      <c r="F169" s="5">
        <f t="shared" si="65"/>
        <v>-2.8470021454758163E-2</v>
      </c>
      <c r="G169" s="1"/>
      <c r="H169" s="1">
        <f>SUM(OSRRefH22_10x_0)</f>
        <v>2976</v>
      </c>
      <c r="I169" s="1"/>
      <c r="J169" s="5">
        <f t="shared" si="66"/>
        <v>5.2628507461894734E-3</v>
      </c>
      <c r="K169" s="1"/>
      <c r="L169" s="1">
        <f t="shared" si="67"/>
        <v>-15460.620000000003</v>
      </c>
      <c r="M169" s="1"/>
      <c r="N169" s="5">
        <f t="shared" si="68"/>
        <v>-5.195100806451614</v>
      </c>
      <c r="O169" s="13"/>
      <c r="P169" s="1">
        <f>SUM(OSRRefP22_10x_0)</f>
        <v>-46741.450000000012</v>
      </c>
      <c r="Q169" s="1"/>
      <c r="R169" s="5">
        <f t="shared" si="69"/>
        <v>-9.9333391611082268E-3</v>
      </c>
      <c r="S169" s="1"/>
      <c r="T169" s="1">
        <f>SUM(OSRRefT22_10x_0)</f>
        <v>36597</v>
      </c>
      <c r="U169" s="1"/>
      <c r="V169" s="5">
        <f t="shared" si="70"/>
        <v>4.1848003823803173E-3</v>
      </c>
      <c r="W169" s="1"/>
      <c r="X169" s="1">
        <f t="shared" si="71"/>
        <v>-83338.450000000012</v>
      </c>
      <c r="Y169" s="1"/>
      <c r="Z169" s="5">
        <f t="shared" si="72"/>
        <v>-2.2771934858048479</v>
      </c>
    </row>
    <row r="170" spans="1:26" s="24" customFormat="1" hidden="1" outlineLevel="2" x14ac:dyDescent="0.25">
      <c r="A170" s="26"/>
      <c r="B170" s="11" t="str">
        <f>CONCATENATE("          ", "6305", " - ", "FREIGHT OUT")</f>
        <v xml:space="preserve">          6305 - FREIGHT OUT</v>
      </c>
      <c r="C170" s="11"/>
      <c r="D170" s="7">
        <v>22697.32</v>
      </c>
      <c r="E170" s="2"/>
      <c r="F170" s="6">
        <f t="shared" si="65"/>
        <v>5.1759139434400997E-2</v>
      </c>
      <c r="G170" s="2"/>
      <c r="H170" s="7">
        <v>5048</v>
      </c>
      <c r="I170" s="2"/>
      <c r="J170" s="6">
        <f t="shared" si="66"/>
        <v>8.9270398409826823E-3</v>
      </c>
      <c r="K170" s="2"/>
      <c r="L170" s="7">
        <f t="shared" si="67"/>
        <v>17649.32</v>
      </c>
      <c r="M170" s="2"/>
      <c r="N170" s="6">
        <f t="shared" si="68"/>
        <v>3.4962995245641837</v>
      </c>
      <c r="O170" s="11"/>
      <c r="P170" s="7">
        <v>202180.93</v>
      </c>
      <c r="Q170" s="2"/>
      <c r="R170" s="6">
        <f t="shared" si="69"/>
        <v>4.2966826009853798E-2</v>
      </c>
      <c r="S170" s="2"/>
      <c r="T170" s="7">
        <v>60939</v>
      </c>
      <c r="U170" s="2"/>
      <c r="V170" s="6">
        <f t="shared" si="70"/>
        <v>6.9682638058276404E-3</v>
      </c>
      <c r="W170" s="2"/>
      <c r="X170" s="7">
        <f t="shared" si="71"/>
        <v>141241.93</v>
      </c>
      <c r="Y170" s="2"/>
      <c r="Z170" s="6">
        <f t="shared" si="72"/>
        <v>2.3177592346444804</v>
      </c>
    </row>
    <row r="171" spans="1:26" s="24" customFormat="1" hidden="1" outlineLevel="2" x14ac:dyDescent="0.25">
      <c r="A171" s="26"/>
      <c r="B171" s="11" t="str">
        <f>CONCATENATE("          ", "6307", " - ", "POSTAGE")</f>
        <v xml:space="preserve">          6307 - POSTAGE</v>
      </c>
      <c r="C171" s="11"/>
      <c r="D171" s="7">
        <v>-35181.94</v>
      </c>
      <c r="E171" s="2"/>
      <c r="F171" s="6">
        <f t="shared" si="65"/>
        <v>-8.0229160889159157E-2</v>
      </c>
      <c r="G171" s="2"/>
      <c r="H171" s="7">
        <v>-2072</v>
      </c>
      <c r="I171" s="2"/>
      <c r="J171" s="6">
        <f t="shared" si="66"/>
        <v>-3.6641890947932084E-3</v>
      </c>
      <c r="K171" s="2"/>
      <c r="L171" s="7">
        <f t="shared" si="67"/>
        <v>-33109.94</v>
      </c>
      <c r="M171" s="2"/>
      <c r="N171" s="6">
        <f t="shared" si="68"/>
        <v>15.979700772200774</v>
      </c>
      <c r="O171" s="11"/>
      <c r="P171" s="7">
        <v>-248922.38</v>
      </c>
      <c r="Q171" s="2"/>
      <c r="R171" s="6">
        <f t="shared" si="69"/>
        <v>-5.2900165170962021E-2</v>
      </c>
      <c r="S171" s="2"/>
      <c r="T171" s="7">
        <v>-24342</v>
      </c>
      <c r="U171" s="2"/>
      <c r="V171" s="6">
        <f t="shared" si="70"/>
        <v>-2.7834634234473231E-3</v>
      </c>
      <c r="W171" s="2"/>
      <c r="X171" s="7">
        <f t="shared" si="71"/>
        <v>-224580.38</v>
      </c>
      <c r="Y171" s="2"/>
      <c r="Z171" s="6">
        <f t="shared" si="72"/>
        <v>9.2260446964094989</v>
      </c>
    </row>
    <row r="172" spans="1:26" s="25" customFormat="1" outlineLevel="1" collapsed="1" x14ac:dyDescent="0.25">
      <c r="A172" s="27"/>
      <c r="B172" s="13" t="str">
        <f>CONCATENATE("     ","General                                           ")</f>
        <v xml:space="preserve">     General                                           </v>
      </c>
      <c r="C172" s="13"/>
      <c r="D172" s="1">
        <f>SUM(OSRRefD22_11x_0)</f>
        <v>213.84</v>
      </c>
      <c r="E172" s="1"/>
      <c r="F172" s="5">
        <f t="shared" ref="F172:F175" si="73">IF(D$12=0,0,D172/D$12)</f>
        <v>4.876423461735707E-4</v>
      </c>
      <c r="G172" s="1"/>
      <c r="H172" s="1">
        <f>SUM(OSRRefH22_11x_0)</f>
        <v>750</v>
      </c>
      <c r="I172" s="1"/>
      <c r="J172" s="5">
        <f t="shared" ref="J172:J175" si="74">IF(H$12=0,0,H172/H$12)</f>
        <v>1.326323272729202E-3</v>
      </c>
      <c r="K172" s="1"/>
      <c r="L172" s="1">
        <f t="shared" ref="L172:L175" si="75">+D172-H172</f>
        <v>-536.16</v>
      </c>
      <c r="M172" s="1"/>
      <c r="N172" s="5">
        <f t="shared" ref="N172:N175" si="76">IF(H172=0,0,L172/H172)</f>
        <v>-0.71487999999999996</v>
      </c>
      <c r="O172" s="13"/>
      <c r="P172" s="1">
        <f>SUM(OSRRefP22_11x_0)</f>
        <v>6158.49</v>
      </c>
      <c r="Q172" s="1"/>
      <c r="R172" s="5">
        <f t="shared" ref="R172:R175" si="77">IF(P$12=0,0,P172/P$12)</f>
        <v>1.308782031586384E-3</v>
      </c>
      <c r="S172" s="1"/>
      <c r="T172" s="1">
        <f>SUM(OSRRefT22_11x_0)</f>
        <v>13150</v>
      </c>
      <c r="U172" s="1"/>
      <c r="V172" s="5">
        <f t="shared" ref="V172:V175" si="78">IF(T$12=0,0,T172/T$12)</f>
        <v>1.5036785809848122E-3</v>
      </c>
      <c r="W172" s="1"/>
      <c r="X172" s="1">
        <f t="shared" ref="X172:X175" si="79">+P172-T172</f>
        <v>-6991.51</v>
      </c>
      <c r="Y172" s="1"/>
      <c r="Z172" s="5">
        <f t="shared" ref="Z172:Z175" si="80">IF(T172=0,0,X172/T172)</f>
        <v>-0.53167376425855517</v>
      </c>
    </row>
    <row r="173" spans="1:26" s="24" customFormat="1" hidden="1" outlineLevel="2" x14ac:dyDescent="0.25">
      <c r="A173" s="26"/>
      <c r="B173" s="11" t="str">
        <f>CONCATENATE("          ", "6269", " - ", "ENTERTAINMENT")</f>
        <v xml:space="preserve">          6269 - ENTERTAINMENT</v>
      </c>
      <c r="C173" s="11"/>
      <c r="D173" s="7"/>
      <c r="E173" s="2"/>
      <c r="F173" s="6">
        <f t="shared" si="73"/>
        <v>0</v>
      </c>
      <c r="G173" s="2"/>
      <c r="H173" s="7"/>
      <c r="I173" s="2"/>
      <c r="J173" s="6">
        <f t="shared" si="74"/>
        <v>0</v>
      </c>
      <c r="K173" s="2"/>
      <c r="L173" s="7">
        <f t="shared" si="75"/>
        <v>0</v>
      </c>
      <c r="M173" s="2"/>
      <c r="N173" s="6">
        <f t="shared" si="76"/>
        <v>0</v>
      </c>
      <c r="O173" s="11"/>
      <c r="P173" s="7"/>
      <c r="Q173" s="2"/>
      <c r="R173" s="6">
        <f t="shared" si="77"/>
        <v>0</v>
      </c>
      <c r="S173" s="2"/>
      <c r="T173" s="7">
        <v>1500</v>
      </c>
      <c r="U173" s="2"/>
      <c r="V173" s="6">
        <f t="shared" si="78"/>
        <v>1.7152227159522574E-4</v>
      </c>
      <c r="W173" s="2"/>
      <c r="X173" s="7">
        <f t="shared" si="79"/>
        <v>-1500</v>
      </c>
      <c r="Y173" s="2"/>
      <c r="Z173" s="6">
        <f t="shared" si="80"/>
        <v>-1</v>
      </c>
    </row>
    <row r="174" spans="1:26" s="24" customFormat="1" hidden="1" outlineLevel="2" x14ac:dyDescent="0.25">
      <c r="A174" s="26"/>
      <c r="B174" s="11" t="str">
        <f>CONCATENATE("          ", "6276", " - ", "PROPERTY TAX")</f>
        <v xml:space="preserve">          6276 - PROPERTY TAX</v>
      </c>
      <c r="C174" s="11"/>
      <c r="D174" s="7"/>
      <c r="E174" s="2"/>
      <c r="F174" s="6">
        <f t="shared" si="73"/>
        <v>0</v>
      </c>
      <c r="G174" s="2"/>
      <c r="H174" s="7"/>
      <c r="I174" s="2"/>
      <c r="J174" s="6">
        <f t="shared" si="74"/>
        <v>0</v>
      </c>
      <c r="K174" s="2"/>
      <c r="L174" s="7">
        <f t="shared" si="75"/>
        <v>0</v>
      </c>
      <c r="M174" s="2"/>
      <c r="N174" s="6">
        <f t="shared" si="76"/>
        <v>0</v>
      </c>
      <c r="O174" s="11"/>
      <c r="P174" s="7"/>
      <c r="Q174" s="2"/>
      <c r="R174" s="6">
        <f t="shared" si="77"/>
        <v>0</v>
      </c>
      <c r="S174" s="2"/>
      <c r="T174" s="7">
        <v>150</v>
      </c>
      <c r="U174" s="2"/>
      <c r="V174" s="6">
        <f t="shared" si="78"/>
        <v>1.7152227159522574E-5</v>
      </c>
      <c r="W174" s="2"/>
      <c r="X174" s="7">
        <f t="shared" si="79"/>
        <v>-150</v>
      </c>
      <c r="Y174" s="2"/>
      <c r="Z174" s="6">
        <f t="shared" si="80"/>
        <v>-1</v>
      </c>
    </row>
    <row r="175" spans="1:26" s="24" customFormat="1" hidden="1" outlineLevel="2" x14ac:dyDescent="0.25">
      <c r="A175" s="26"/>
      <c r="B175" s="11" t="str">
        <f>CONCATENATE("          ", "6279", " - ", "GENERAL EXPENSE")</f>
        <v xml:space="preserve">          6279 - GENERAL EXPENSE</v>
      </c>
      <c r="C175" s="11"/>
      <c r="D175" s="7">
        <v>213.84</v>
      </c>
      <c r="E175" s="2"/>
      <c r="F175" s="6">
        <f t="shared" si="73"/>
        <v>4.876423461735707E-4</v>
      </c>
      <c r="G175" s="2"/>
      <c r="H175" s="7">
        <v>750</v>
      </c>
      <c r="I175" s="2"/>
      <c r="J175" s="6">
        <f t="shared" si="74"/>
        <v>1.326323272729202E-3</v>
      </c>
      <c r="K175" s="2"/>
      <c r="L175" s="7">
        <f t="shared" si="75"/>
        <v>-536.16</v>
      </c>
      <c r="M175" s="2"/>
      <c r="N175" s="6">
        <f t="shared" si="76"/>
        <v>-0.71487999999999996</v>
      </c>
      <c r="O175" s="11"/>
      <c r="P175" s="7">
        <v>6158.49</v>
      </c>
      <c r="Q175" s="2"/>
      <c r="R175" s="6">
        <f t="shared" si="77"/>
        <v>1.308782031586384E-3</v>
      </c>
      <c r="S175" s="2"/>
      <c r="T175" s="7">
        <v>11500</v>
      </c>
      <c r="U175" s="2"/>
      <c r="V175" s="6">
        <f t="shared" si="78"/>
        <v>1.3150040822300639E-3</v>
      </c>
      <c r="W175" s="2"/>
      <c r="X175" s="7">
        <f t="shared" si="79"/>
        <v>-5341.51</v>
      </c>
      <c r="Y175" s="2"/>
      <c r="Z175" s="6">
        <f t="shared" si="80"/>
        <v>-0.46447913043478262</v>
      </c>
    </row>
    <row r="176" spans="1:26" s="25" customFormat="1" outlineLevel="1" collapsed="1" x14ac:dyDescent="0.25">
      <c r="A176" s="27"/>
      <c r="B176" s="13" t="str">
        <f>CONCATENATE("     ","Insurance                                         ")</f>
        <v xml:space="preserve">     Insurance                                         </v>
      </c>
      <c r="C176" s="13"/>
      <c r="D176" s="1">
        <f>SUM(OSRRefD22_12x_0)</f>
        <v>4288.28</v>
      </c>
      <c r="E176" s="1"/>
      <c r="F176" s="5">
        <f t="shared" ref="F176:F182" si="81">IF(D$12=0,0,D176/D$12)</f>
        <v>9.7790260019135784E-3</v>
      </c>
      <c r="G176" s="1"/>
      <c r="H176" s="1">
        <f>SUM(OSRRefH22_12x_0)</f>
        <v>4716</v>
      </c>
      <c r="I176" s="1"/>
      <c r="J176" s="5">
        <f t="shared" ref="J176:J182" si="82">IF(H$12=0,0,H176/H$12)</f>
        <v>8.3399207389212218E-3</v>
      </c>
      <c r="K176" s="1"/>
      <c r="L176" s="1">
        <f t="shared" ref="L176:L182" si="83">+D176-H176</f>
        <v>-427.72000000000025</v>
      </c>
      <c r="M176" s="1"/>
      <c r="N176" s="5">
        <f t="shared" ref="N176:N182" si="84">IF(H176=0,0,L176/H176)</f>
        <v>-9.0695504664970367E-2</v>
      </c>
      <c r="O176" s="13"/>
      <c r="P176" s="1">
        <f>SUM(OSRRefP22_12x_0)</f>
        <v>42882.8</v>
      </c>
      <c r="Q176" s="1"/>
      <c r="R176" s="5">
        <f t="shared" ref="R176:R182" si="85">IF(P$12=0,0,P176/P$12)</f>
        <v>9.1133115591829489E-3</v>
      </c>
      <c r="S176" s="1"/>
      <c r="T176" s="1">
        <f>SUM(OSRRefT22_12x_0)</f>
        <v>47160</v>
      </c>
      <c r="U176" s="1"/>
      <c r="V176" s="5">
        <f t="shared" ref="V176:V182" si="86">IF(T$12=0,0,T176/T$12)</f>
        <v>5.3926602189538972E-3</v>
      </c>
      <c r="W176" s="1"/>
      <c r="X176" s="1">
        <f t="shared" ref="X176:X182" si="87">+P176-T176</f>
        <v>-4277.1999999999971</v>
      </c>
      <c r="Y176" s="1"/>
      <c r="Z176" s="5">
        <f t="shared" ref="Z176:Z182" si="88">IF(T176=0,0,X176/T176)</f>
        <v>-9.0695504664970256E-2</v>
      </c>
    </row>
    <row r="177" spans="1:26" s="24" customFormat="1" hidden="1" outlineLevel="2" x14ac:dyDescent="0.25">
      <c r="A177" s="26"/>
      <c r="B177" s="11" t="str">
        <f>CONCATENATE("          ", "6314", " - ", "LIABILITY INSURANCE")</f>
        <v xml:space="preserve">          6314 - LIABILITY INSURANCE</v>
      </c>
      <c r="C177" s="11"/>
      <c r="D177" s="7">
        <v>4288.28</v>
      </c>
      <c r="E177" s="2"/>
      <c r="F177" s="6">
        <f t="shared" si="81"/>
        <v>9.7790260019135784E-3</v>
      </c>
      <c r="G177" s="2"/>
      <c r="H177" s="7">
        <v>4716</v>
      </c>
      <c r="I177" s="2"/>
      <c r="J177" s="6">
        <f t="shared" si="82"/>
        <v>8.3399207389212218E-3</v>
      </c>
      <c r="K177" s="2"/>
      <c r="L177" s="7">
        <f t="shared" si="83"/>
        <v>-427.72000000000025</v>
      </c>
      <c r="M177" s="2"/>
      <c r="N177" s="6">
        <f t="shared" si="84"/>
        <v>-9.0695504664970367E-2</v>
      </c>
      <c r="O177" s="11"/>
      <c r="P177" s="7">
        <v>42882.8</v>
      </c>
      <c r="Q177" s="2"/>
      <c r="R177" s="6">
        <f t="shared" si="85"/>
        <v>9.1133115591829489E-3</v>
      </c>
      <c r="S177" s="2"/>
      <c r="T177" s="7">
        <v>47160</v>
      </c>
      <c r="U177" s="2"/>
      <c r="V177" s="6">
        <f t="shared" si="86"/>
        <v>5.3926602189538972E-3</v>
      </c>
      <c r="W177" s="2"/>
      <c r="X177" s="7">
        <f t="shared" si="87"/>
        <v>-4277.1999999999971</v>
      </c>
      <c r="Y177" s="2"/>
      <c r="Z177" s="6">
        <f t="shared" si="88"/>
        <v>-9.0695504664970256E-2</v>
      </c>
    </row>
    <row r="178" spans="1:26" s="25" customFormat="1" outlineLevel="1" collapsed="1" x14ac:dyDescent="0.25">
      <c r="A178" s="27"/>
      <c r="B178" s="13" t="str">
        <f>CONCATENATE("     ","Interest                                          ")</f>
        <v xml:space="preserve">     Interest                                          </v>
      </c>
      <c r="C178" s="13"/>
      <c r="D178" s="1">
        <f>SUM(OSRRefD22_13x_0)</f>
        <v>3213</v>
      </c>
      <c r="E178" s="1"/>
      <c r="F178" s="5">
        <f t="shared" si="81"/>
        <v>7.3269493932645088E-3</v>
      </c>
      <c r="G178" s="1"/>
      <c r="H178" s="1">
        <f>SUM(OSRRefH22_13x_0)</f>
        <v>4044</v>
      </c>
      <c r="I178" s="1"/>
      <c r="J178" s="5">
        <f t="shared" si="82"/>
        <v>7.1515350865558568E-3</v>
      </c>
      <c r="K178" s="1"/>
      <c r="L178" s="1">
        <f t="shared" si="83"/>
        <v>-831</v>
      </c>
      <c r="M178" s="1"/>
      <c r="N178" s="5">
        <f t="shared" si="84"/>
        <v>-0.20548961424332343</v>
      </c>
      <c r="O178" s="13"/>
      <c r="P178" s="1">
        <f>SUM(OSRRefP22_13x_0)</f>
        <v>39346.85</v>
      </c>
      <c r="Q178" s="1"/>
      <c r="R178" s="5">
        <f t="shared" si="85"/>
        <v>8.3618630994813196E-3</v>
      </c>
      <c r="S178" s="1"/>
      <c r="T178" s="1">
        <f>SUM(OSRRefT22_13x_0)</f>
        <v>40440</v>
      </c>
      <c r="U178" s="1"/>
      <c r="V178" s="5">
        <f t="shared" si="86"/>
        <v>4.6242404422072855E-3</v>
      </c>
      <c r="W178" s="1"/>
      <c r="X178" s="1">
        <f t="shared" si="87"/>
        <v>-1093.1500000000015</v>
      </c>
      <c r="Y178" s="1"/>
      <c r="Z178" s="5">
        <f t="shared" si="88"/>
        <v>-2.703140454995058E-2</v>
      </c>
    </row>
    <row r="179" spans="1:26" s="24" customFormat="1" hidden="1" outlineLevel="2" x14ac:dyDescent="0.25">
      <c r="A179" s="26"/>
      <c r="B179" s="11" t="str">
        <f>CONCATENATE("          ", "6401", " - ", "INTEREST EXPENSE")</f>
        <v xml:space="preserve">          6401 - INTEREST EXPENSE</v>
      </c>
      <c r="C179" s="11"/>
      <c r="D179" s="7">
        <v>3213</v>
      </c>
      <c r="E179" s="2"/>
      <c r="F179" s="6">
        <f t="shared" si="81"/>
        <v>7.3269493932645088E-3</v>
      </c>
      <c r="G179" s="2"/>
      <c r="H179" s="7">
        <v>4044</v>
      </c>
      <c r="I179" s="2"/>
      <c r="J179" s="6">
        <f t="shared" si="82"/>
        <v>7.1515350865558568E-3</v>
      </c>
      <c r="K179" s="2"/>
      <c r="L179" s="7">
        <f t="shared" si="83"/>
        <v>-831</v>
      </c>
      <c r="M179" s="2"/>
      <c r="N179" s="6">
        <f t="shared" si="84"/>
        <v>-0.20548961424332343</v>
      </c>
      <c r="O179" s="11"/>
      <c r="P179" s="7">
        <v>39346.85</v>
      </c>
      <c r="Q179" s="2"/>
      <c r="R179" s="6">
        <f t="shared" si="85"/>
        <v>8.3618630994813196E-3</v>
      </c>
      <c r="S179" s="2"/>
      <c r="T179" s="7">
        <v>40440</v>
      </c>
      <c r="U179" s="2"/>
      <c r="V179" s="6">
        <f t="shared" si="86"/>
        <v>4.6242404422072855E-3</v>
      </c>
      <c r="W179" s="2"/>
      <c r="X179" s="7">
        <f t="shared" si="87"/>
        <v>-1093.1500000000015</v>
      </c>
      <c r="Y179" s="2"/>
      <c r="Z179" s="6">
        <f t="shared" si="88"/>
        <v>-2.703140454995058E-2</v>
      </c>
    </row>
    <row r="180" spans="1:26" s="25" customFormat="1" outlineLevel="1" collapsed="1" x14ac:dyDescent="0.25">
      <c r="A180" s="27"/>
      <c r="B180" s="13" t="str">
        <f>CONCATENATE("     ","Inventory Adjustment                              ")</f>
        <v xml:space="preserve">     Inventory Adjustment                              </v>
      </c>
      <c r="C180" s="13"/>
      <c r="D180" s="1">
        <f>SUM(OSRRefD22_14x_0)</f>
        <v>2100</v>
      </c>
      <c r="E180" s="1"/>
      <c r="F180" s="5">
        <f t="shared" si="81"/>
        <v>4.7888558125911826E-3</v>
      </c>
      <c r="G180" s="1"/>
      <c r="H180" s="1">
        <f>SUM(OSRRefH22_14x_0)</f>
        <v>3100</v>
      </c>
      <c r="I180" s="1"/>
      <c r="J180" s="5">
        <f t="shared" si="82"/>
        <v>5.482136193947368E-3</v>
      </c>
      <c r="K180" s="1"/>
      <c r="L180" s="1">
        <f t="shared" si="83"/>
        <v>-1000</v>
      </c>
      <c r="M180" s="1"/>
      <c r="N180" s="5">
        <f t="shared" si="84"/>
        <v>-0.32258064516129031</v>
      </c>
      <c r="O180" s="13"/>
      <c r="P180" s="1">
        <f>SUM(OSRRefP22_14x_0)</f>
        <v>26000</v>
      </c>
      <c r="Q180" s="1"/>
      <c r="R180" s="5">
        <f t="shared" si="85"/>
        <v>5.5254344524787707E-3</v>
      </c>
      <c r="S180" s="1"/>
      <c r="T180" s="1">
        <f>SUM(OSRRefT22_14x_0)</f>
        <v>36000</v>
      </c>
      <c r="U180" s="1"/>
      <c r="V180" s="5">
        <f t="shared" si="86"/>
        <v>4.1165345182854179E-3</v>
      </c>
      <c r="W180" s="1"/>
      <c r="X180" s="1">
        <f t="shared" si="87"/>
        <v>-10000</v>
      </c>
      <c r="Y180" s="1"/>
      <c r="Z180" s="5">
        <f t="shared" si="88"/>
        <v>-0.27777777777777779</v>
      </c>
    </row>
    <row r="181" spans="1:26" s="24" customFormat="1" hidden="1" outlineLevel="2" x14ac:dyDescent="0.25">
      <c r="A181" s="26"/>
      <c r="B181" s="11" t="str">
        <f>CONCATENATE("          ", "6408", " - ", "INVENTORY ADJUSTMENT")</f>
        <v xml:space="preserve">          6408 - INVENTORY ADJUSTMENT</v>
      </c>
      <c r="C181" s="11"/>
      <c r="D181" s="7">
        <v>2100</v>
      </c>
      <c r="E181" s="2"/>
      <c r="F181" s="6">
        <f t="shared" si="81"/>
        <v>4.7888558125911826E-3</v>
      </c>
      <c r="G181" s="2"/>
      <c r="H181" s="7">
        <v>3100</v>
      </c>
      <c r="I181" s="2"/>
      <c r="J181" s="6">
        <f t="shared" si="82"/>
        <v>5.482136193947368E-3</v>
      </c>
      <c r="K181" s="2"/>
      <c r="L181" s="7">
        <f t="shared" si="83"/>
        <v>-1000</v>
      </c>
      <c r="M181" s="2"/>
      <c r="N181" s="6">
        <f t="shared" si="84"/>
        <v>-0.32258064516129031</v>
      </c>
      <c r="O181" s="11"/>
      <c r="P181" s="7">
        <v>26000</v>
      </c>
      <c r="Q181" s="2"/>
      <c r="R181" s="6">
        <f t="shared" si="85"/>
        <v>5.5254344524787707E-3</v>
      </c>
      <c r="S181" s="2"/>
      <c r="T181" s="7">
        <v>36000</v>
      </c>
      <c r="U181" s="2"/>
      <c r="V181" s="6">
        <f t="shared" si="86"/>
        <v>4.1165345182854179E-3</v>
      </c>
      <c r="W181" s="2"/>
      <c r="X181" s="7">
        <f t="shared" si="87"/>
        <v>-10000</v>
      </c>
      <c r="Y181" s="2"/>
      <c r="Z181" s="6">
        <f t="shared" si="88"/>
        <v>-0.27777777777777779</v>
      </c>
    </row>
    <row r="182" spans="1:26" s="24" customFormat="1" hidden="1" outlineLevel="2" x14ac:dyDescent="0.25">
      <c r="A182" s="26"/>
      <c r="B182" s="11" t="str">
        <f>CONCATENATE("          ", "7741", " - ", "INV. SHRINKAGE-LOGO GIFTS")</f>
        <v xml:space="preserve">          7741 - INV. SHRINKAGE-LOGO GIFTS</v>
      </c>
      <c r="C182" s="11"/>
      <c r="D182" s="7"/>
      <c r="E182" s="2"/>
      <c r="F182" s="6">
        <f t="shared" si="81"/>
        <v>0</v>
      </c>
      <c r="G182" s="2"/>
      <c r="H182" s="7"/>
      <c r="I182" s="2"/>
      <c r="J182" s="6">
        <f t="shared" si="82"/>
        <v>0</v>
      </c>
      <c r="K182" s="2"/>
      <c r="L182" s="7">
        <f t="shared" si="83"/>
        <v>0</v>
      </c>
      <c r="M182" s="2"/>
      <c r="N182" s="6">
        <f t="shared" si="84"/>
        <v>0</v>
      </c>
      <c r="O182" s="11"/>
      <c r="P182" s="7">
        <v>0</v>
      </c>
      <c r="Q182" s="2"/>
      <c r="R182" s="6">
        <f t="shared" si="85"/>
        <v>0</v>
      </c>
      <c r="S182" s="2"/>
      <c r="T182" s="7"/>
      <c r="U182" s="2"/>
      <c r="V182" s="6">
        <f t="shared" si="86"/>
        <v>0</v>
      </c>
      <c r="W182" s="2"/>
      <c r="X182" s="7">
        <f t="shared" si="87"/>
        <v>0</v>
      </c>
      <c r="Y182" s="2"/>
      <c r="Z182" s="6">
        <f t="shared" si="88"/>
        <v>0</v>
      </c>
    </row>
    <row r="183" spans="1:26" s="25" customFormat="1" outlineLevel="1" collapsed="1" x14ac:dyDescent="0.25">
      <c r="A183" s="27"/>
      <c r="B183" s="13" t="str">
        <f>CONCATENATE("     ","Professional Services                             ")</f>
        <v xml:space="preserve">     Professional Services                             </v>
      </c>
      <c r="C183" s="13"/>
      <c r="D183" s="1">
        <f>SUM(OSRRefD22_15x_0)</f>
        <v>0</v>
      </c>
      <c r="E183" s="1"/>
      <c r="F183" s="5">
        <f t="shared" ref="F183:F191" si="89">IF(D$12=0,0,D183/D$12)</f>
        <v>0</v>
      </c>
      <c r="G183" s="1"/>
      <c r="H183" s="1">
        <f>SUM(OSRRefH22_15x_0)</f>
        <v>250</v>
      </c>
      <c r="I183" s="1"/>
      <c r="J183" s="5">
        <f t="shared" ref="J183:J191" si="90">IF(H$12=0,0,H183/H$12)</f>
        <v>4.4210775757640066E-4</v>
      </c>
      <c r="K183" s="1"/>
      <c r="L183" s="1">
        <f t="shared" ref="L183:L191" si="91">+D183-H183</f>
        <v>-250</v>
      </c>
      <c r="M183" s="1"/>
      <c r="N183" s="5">
        <f t="shared" ref="N183:N191" si="92">IF(H183=0,0,L183/H183)</f>
        <v>-1</v>
      </c>
      <c r="O183" s="13"/>
      <c r="P183" s="1">
        <f>SUM(OSRRefP22_15x_0)</f>
        <v>0</v>
      </c>
      <c r="Q183" s="1"/>
      <c r="R183" s="5">
        <f t="shared" ref="R183:R191" si="93">IF(P$12=0,0,P183/P$12)</f>
        <v>0</v>
      </c>
      <c r="S183" s="1"/>
      <c r="T183" s="1">
        <f>SUM(OSRRefT22_15x_0)</f>
        <v>7300</v>
      </c>
      <c r="U183" s="1"/>
      <c r="V183" s="5">
        <f t="shared" ref="V183:V191" si="94">IF(T$12=0,0,T183/T$12)</f>
        <v>8.3474172176343196E-4</v>
      </c>
      <c r="W183" s="1"/>
      <c r="X183" s="1">
        <f t="shared" ref="X183:X191" si="95">+P183-T183</f>
        <v>-7300</v>
      </c>
      <c r="Y183" s="1"/>
      <c r="Z183" s="5">
        <f t="shared" ref="Z183:Z191" si="96">IF(T183=0,0,X183/T183)</f>
        <v>-1</v>
      </c>
    </row>
    <row r="184" spans="1:26" s="24" customFormat="1" hidden="1" outlineLevel="2" x14ac:dyDescent="0.25">
      <c r="A184" s="26"/>
      <c r="B184" s="11" t="str">
        <f>CONCATENATE("          ", "6336", " - ", "PROFESSIONAL SERVICES")</f>
        <v xml:space="preserve">          6336 - PROFESSIONAL SERVICES</v>
      </c>
      <c r="C184" s="11"/>
      <c r="D184" s="7"/>
      <c r="E184" s="2"/>
      <c r="F184" s="6">
        <f t="shared" si="89"/>
        <v>0</v>
      </c>
      <c r="G184" s="2"/>
      <c r="H184" s="7">
        <v>250</v>
      </c>
      <c r="I184" s="2"/>
      <c r="J184" s="6">
        <f t="shared" si="90"/>
        <v>4.4210775757640066E-4</v>
      </c>
      <c r="K184" s="2"/>
      <c r="L184" s="7">
        <f t="shared" si="91"/>
        <v>-250</v>
      </c>
      <c r="M184" s="2"/>
      <c r="N184" s="6">
        <f t="shared" si="92"/>
        <v>-1</v>
      </c>
      <c r="O184" s="11"/>
      <c r="P184" s="7"/>
      <c r="Q184" s="2"/>
      <c r="R184" s="6">
        <f t="shared" si="93"/>
        <v>0</v>
      </c>
      <c r="S184" s="2"/>
      <c r="T184" s="7">
        <v>7300</v>
      </c>
      <c r="U184" s="2"/>
      <c r="V184" s="6">
        <f t="shared" si="94"/>
        <v>8.3474172176343196E-4</v>
      </c>
      <c r="W184" s="2"/>
      <c r="X184" s="7">
        <f t="shared" si="95"/>
        <v>-7300</v>
      </c>
      <c r="Y184" s="2"/>
      <c r="Z184" s="6">
        <f t="shared" si="96"/>
        <v>-1</v>
      </c>
    </row>
    <row r="185" spans="1:26" s="25" customFormat="1" outlineLevel="1" collapsed="1" x14ac:dyDescent="0.25">
      <c r="A185" s="27"/>
      <c r="B185" s="13" t="str">
        <f>CONCATENATE("     ","Rent                                              ")</f>
        <v xml:space="preserve">     Rent                                              </v>
      </c>
      <c r="C185" s="13"/>
      <c r="D185" s="1">
        <f>SUM(OSRRefD22_16x_0)</f>
        <v>6100</v>
      </c>
      <c r="E185" s="1"/>
      <c r="F185" s="5">
        <f t="shared" si="89"/>
        <v>1.3910485931812482E-2</v>
      </c>
      <c r="G185" s="1"/>
      <c r="H185" s="1">
        <f>SUM(OSRRefH22_16x_0)</f>
        <v>6100</v>
      </c>
      <c r="I185" s="1"/>
      <c r="J185" s="5">
        <f t="shared" si="90"/>
        <v>1.0787429284864175E-2</v>
      </c>
      <c r="K185" s="1"/>
      <c r="L185" s="1">
        <f t="shared" si="91"/>
        <v>0</v>
      </c>
      <c r="M185" s="1"/>
      <c r="N185" s="5">
        <f t="shared" si="92"/>
        <v>0</v>
      </c>
      <c r="O185" s="13"/>
      <c r="P185" s="1">
        <f>SUM(OSRRefP22_16x_0)</f>
        <v>61000</v>
      </c>
      <c r="Q185" s="1"/>
      <c r="R185" s="5">
        <f t="shared" si="93"/>
        <v>1.296351929235404E-2</v>
      </c>
      <c r="S185" s="1"/>
      <c r="T185" s="1">
        <f>SUM(OSRRefT22_16x_0)</f>
        <v>61001</v>
      </c>
      <c r="U185" s="1"/>
      <c r="V185" s="5">
        <f t="shared" si="94"/>
        <v>6.9753533930535768E-3</v>
      </c>
      <c r="W185" s="1"/>
      <c r="X185" s="1">
        <f t="shared" si="95"/>
        <v>-1</v>
      </c>
      <c r="Y185" s="1"/>
      <c r="Z185" s="5">
        <f t="shared" si="96"/>
        <v>-1.639317388239537E-5</v>
      </c>
    </row>
    <row r="186" spans="1:26" s="24" customFormat="1" hidden="1" outlineLevel="2" x14ac:dyDescent="0.25">
      <c r="A186" s="26"/>
      <c r="B186" s="11" t="str">
        <f>CONCATENATE("          ", "6273", " - ", "RENT")</f>
        <v xml:space="preserve">          6273 - RENT</v>
      </c>
      <c r="C186" s="11"/>
      <c r="D186" s="7">
        <v>6100</v>
      </c>
      <c r="E186" s="2"/>
      <c r="F186" s="6">
        <f t="shared" si="89"/>
        <v>1.3910485931812482E-2</v>
      </c>
      <c r="G186" s="2"/>
      <c r="H186" s="7">
        <v>6100</v>
      </c>
      <c r="I186" s="2"/>
      <c r="J186" s="6">
        <f t="shared" si="90"/>
        <v>1.0787429284864175E-2</v>
      </c>
      <c r="K186" s="2"/>
      <c r="L186" s="7">
        <f t="shared" si="91"/>
        <v>0</v>
      </c>
      <c r="M186" s="2"/>
      <c r="N186" s="6">
        <f t="shared" si="92"/>
        <v>0</v>
      </c>
      <c r="O186" s="11"/>
      <c r="P186" s="7">
        <v>61000</v>
      </c>
      <c r="Q186" s="2"/>
      <c r="R186" s="6">
        <f t="shared" si="93"/>
        <v>1.296351929235404E-2</v>
      </c>
      <c r="S186" s="2"/>
      <c r="T186" s="7">
        <v>61001</v>
      </c>
      <c r="U186" s="2"/>
      <c r="V186" s="6">
        <f t="shared" si="94"/>
        <v>6.9753533930535768E-3</v>
      </c>
      <c r="W186" s="2"/>
      <c r="X186" s="7">
        <f t="shared" si="95"/>
        <v>-1</v>
      </c>
      <c r="Y186" s="2"/>
      <c r="Z186" s="6">
        <f t="shared" si="96"/>
        <v>-1.639317388239537E-5</v>
      </c>
    </row>
    <row r="187" spans="1:26" s="25" customFormat="1" outlineLevel="1" collapsed="1" x14ac:dyDescent="0.25">
      <c r="A187" s="27"/>
      <c r="B187" s="13" t="str">
        <f>CONCATENATE("     ","Repair and Maintenance                            ")</f>
        <v xml:space="preserve">     Repair and Maintenance                            </v>
      </c>
      <c r="C187" s="13"/>
      <c r="D187" s="1">
        <f>SUM(OSRRefD22_17x_0)</f>
        <v>2485.83</v>
      </c>
      <c r="E187" s="1"/>
      <c r="F187" s="5">
        <f t="shared" si="89"/>
        <v>5.6687054498159705E-3</v>
      </c>
      <c r="G187" s="1"/>
      <c r="H187" s="1">
        <f>SUM(OSRRefH22_17x_0)</f>
        <v>14425</v>
      </c>
      <c r="I187" s="1"/>
      <c r="J187" s="5">
        <f t="shared" si="90"/>
        <v>2.5509617612158315E-2</v>
      </c>
      <c r="K187" s="1"/>
      <c r="L187" s="1">
        <f t="shared" si="91"/>
        <v>-11939.17</v>
      </c>
      <c r="M187" s="1"/>
      <c r="N187" s="5">
        <f t="shared" si="92"/>
        <v>-0.82767209705372613</v>
      </c>
      <c r="O187" s="13"/>
      <c r="P187" s="1">
        <f>SUM(OSRRefP22_17x_0)</f>
        <v>135741.99</v>
      </c>
      <c r="Q187" s="1"/>
      <c r="R187" s="5">
        <f t="shared" si="93"/>
        <v>2.8847441084385722E-2</v>
      </c>
      <c r="S187" s="1"/>
      <c r="T187" s="1">
        <f>SUM(OSRRefT22_17x_0)</f>
        <v>198642</v>
      </c>
      <c r="U187" s="1"/>
      <c r="V187" s="5">
        <f t="shared" si="94"/>
        <v>2.2714351382812553E-2</v>
      </c>
      <c r="W187" s="1"/>
      <c r="X187" s="1">
        <f t="shared" si="95"/>
        <v>-62900.010000000009</v>
      </c>
      <c r="Y187" s="1"/>
      <c r="Z187" s="5">
        <f t="shared" si="96"/>
        <v>-0.31665010420756945</v>
      </c>
    </row>
    <row r="188" spans="1:26" s="24" customFormat="1" hidden="1" outlineLevel="2" x14ac:dyDescent="0.25">
      <c r="A188" s="26"/>
      <c r="B188" s="11" t="str">
        <f>CONCATENATE("          ", "6371", " - ", "COMPUTER SOFTWARE MAINTENANCE")</f>
        <v xml:space="preserve">          6371 - COMPUTER SOFTWARE MAINTENANCE</v>
      </c>
      <c r="C188" s="11"/>
      <c r="D188" s="7"/>
      <c r="E188" s="2"/>
      <c r="F188" s="6">
        <f t="shared" si="89"/>
        <v>0</v>
      </c>
      <c r="G188" s="2"/>
      <c r="H188" s="7"/>
      <c r="I188" s="2"/>
      <c r="J188" s="6">
        <f t="shared" si="90"/>
        <v>0</v>
      </c>
      <c r="K188" s="2"/>
      <c r="L188" s="7">
        <f t="shared" si="91"/>
        <v>0</v>
      </c>
      <c r="M188" s="2"/>
      <c r="N188" s="6">
        <f t="shared" si="92"/>
        <v>0</v>
      </c>
      <c r="O188" s="11"/>
      <c r="P188" s="7">
        <v>59767.72</v>
      </c>
      <c r="Q188" s="2"/>
      <c r="R188" s="6">
        <f t="shared" si="93"/>
        <v>1.2701639201311711E-2</v>
      </c>
      <c r="S188" s="2"/>
      <c r="T188" s="7">
        <v>45043</v>
      </c>
      <c r="U188" s="2"/>
      <c r="V188" s="6">
        <f t="shared" si="94"/>
        <v>5.1505851196425017E-3</v>
      </c>
      <c r="W188" s="2"/>
      <c r="X188" s="7">
        <f t="shared" si="95"/>
        <v>14724.720000000001</v>
      </c>
      <c r="Y188" s="2"/>
      <c r="Z188" s="6">
        <f t="shared" si="96"/>
        <v>0.32690362542459428</v>
      </c>
    </row>
    <row r="189" spans="1:26" s="24" customFormat="1" hidden="1" outlineLevel="2" x14ac:dyDescent="0.25">
      <c r="A189" s="26"/>
      <c r="B189" s="11" t="str">
        <f>CONCATENATE("          ", "6372", " - ", "COMPUTER HARDWARE MAINTENANCE")</f>
        <v xml:space="preserve">          6372 - COMPUTER HARDWARE MAINTENANCE</v>
      </c>
      <c r="C189" s="11"/>
      <c r="D189" s="7"/>
      <c r="E189" s="2"/>
      <c r="F189" s="6">
        <f t="shared" si="89"/>
        <v>0</v>
      </c>
      <c r="G189" s="2"/>
      <c r="H189" s="7"/>
      <c r="I189" s="2"/>
      <c r="J189" s="6">
        <f t="shared" si="90"/>
        <v>0</v>
      </c>
      <c r="K189" s="2"/>
      <c r="L189" s="7">
        <f t="shared" si="91"/>
        <v>0</v>
      </c>
      <c r="M189" s="2"/>
      <c r="N189" s="6">
        <f t="shared" si="92"/>
        <v>0</v>
      </c>
      <c r="O189" s="11"/>
      <c r="P189" s="7">
        <v>-1.1499999999999999</v>
      </c>
      <c r="Q189" s="2"/>
      <c r="R189" s="6">
        <f t="shared" si="93"/>
        <v>-2.4439421616733022E-7</v>
      </c>
      <c r="S189" s="2"/>
      <c r="T189" s="7">
        <v>437</v>
      </c>
      <c r="U189" s="2"/>
      <c r="V189" s="6">
        <f t="shared" si="94"/>
        <v>4.9970155124742429E-5</v>
      </c>
      <c r="W189" s="2"/>
      <c r="X189" s="7">
        <f t="shared" si="95"/>
        <v>-438.15</v>
      </c>
      <c r="Y189" s="2"/>
      <c r="Z189" s="6">
        <f t="shared" si="96"/>
        <v>-1.0026315789473683</v>
      </c>
    </row>
    <row r="190" spans="1:26" s="24" customFormat="1" hidden="1" outlineLevel="2" x14ac:dyDescent="0.25">
      <c r="A190" s="26"/>
      <c r="B190" s="11" t="str">
        <f>CONCATENATE("          ", "6373", " - ", "MAINTENANCE CONTRACTS")</f>
        <v xml:space="preserve">          6373 - MAINTENANCE CONTRACTS</v>
      </c>
      <c r="C190" s="11"/>
      <c r="D190" s="7">
        <v>1429</v>
      </c>
      <c r="E190" s="2"/>
      <c r="F190" s="6">
        <f t="shared" si="89"/>
        <v>3.2587023600918093E-3</v>
      </c>
      <c r="G190" s="2"/>
      <c r="H190" s="7">
        <v>5740</v>
      </c>
      <c r="I190" s="2"/>
      <c r="J190" s="6">
        <f t="shared" si="90"/>
        <v>1.0150794113954158E-2</v>
      </c>
      <c r="K190" s="2"/>
      <c r="L190" s="7">
        <f t="shared" si="91"/>
        <v>-4311</v>
      </c>
      <c r="M190" s="2"/>
      <c r="N190" s="6">
        <f t="shared" si="92"/>
        <v>-0.75104529616724736</v>
      </c>
      <c r="O190" s="11"/>
      <c r="P190" s="7">
        <v>47376.63</v>
      </c>
      <c r="Q190" s="2"/>
      <c r="R190" s="6">
        <f t="shared" si="93"/>
        <v>1.0068325524782281E-2</v>
      </c>
      <c r="S190" s="2"/>
      <c r="T190" s="7">
        <v>65731</v>
      </c>
      <c r="U190" s="2"/>
      <c r="V190" s="6">
        <f t="shared" si="94"/>
        <v>7.516220289483855E-3</v>
      </c>
      <c r="W190" s="2"/>
      <c r="X190" s="7">
        <f t="shared" si="95"/>
        <v>-18354.370000000003</v>
      </c>
      <c r="Y190" s="2"/>
      <c r="Z190" s="6">
        <f t="shared" si="96"/>
        <v>-0.279234607719341</v>
      </c>
    </row>
    <row r="191" spans="1:26" s="24" customFormat="1" hidden="1" outlineLevel="2" x14ac:dyDescent="0.25">
      <c r="A191" s="26"/>
      <c r="B191" s="11" t="str">
        <f>CONCATENATE("          ", "6375", " - ", "OUTSIDE REPAIRS &amp; MAINTENANCE")</f>
        <v xml:space="preserve">          6375 - OUTSIDE REPAIRS &amp; MAINTENANCE</v>
      </c>
      <c r="C191" s="11"/>
      <c r="D191" s="7">
        <v>1056.83</v>
      </c>
      <c r="E191" s="2"/>
      <c r="F191" s="6">
        <f t="shared" si="89"/>
        <v>2.4100030897241612E-3</v>
      </c>
      <c r="G191" s="2"/>
      <c r="H191" s="7">
        <v>8685</v>
      </c>
      <c r="I191" s="2"/>
      <c r="J191" s="6">
        <f t="shared" si="90"/>
        <v>1.5358823498204159E-2</v>
      </c>
      <c r="K191" s="2"/>
      <c r="L191" s="7">
        <f t="shared" si="91"/>
        <v>-7628.17</v>
      </c>
      <c r="M191" s="2"/>
      <c r="N191" s="6">
        <f t="shared" si="92"/>
        <v>-0.87831548647092694</v>
      </c>
      <c r="O191" s="11"/>
      <c r="P191" s="7">
        <v>28598.79</v>
      </c>
      <c r="Q191" s="2"/>
      <c r="R191" s="6">
        <f t="shared" si="93"/>
        <v>6.077720752507898E-3</v>
      </c>
      <c r="S191" s="2"/>
      <c r="T191" s="7">
        <v>87431</v>
      </c>
      <c r="U191" s="2"/>
      <c r="V191" s="6">
        <f t="shared" si="94"/>
        <v>9.9975758185614546E-3</v>
      </c>
      <c r="W191" s="2"/>
      <c r="X191" s="7">
        <f t="shared" si="95"/>
        <v>-58832.21</v>
      </c>
      <c r="Y191" s="2"/>
      <c r="Z191" s="6">
        <f t="shared" si="96"/>
        <v>-0.67289874300877262</v>
      </c>
    </row>
    <row r="192" spans="1:26" s="25" customFormat="1" outlineLevel="1" collapsed="1" x14ac:dyDescent="0.25">
      <c r="A192" s="27"/>
      <c r="B192" s="13" t="str">
        <f>CONCATENATE("     ","Royalty &amp; Commissions                             ")</f>
        <v xml:space="preserve">     Royalty &amp; Commissions                             </v>
      </c>
      <c r="C192" s="13"/>
      <c r="D192" s="1">
        <f>SUM(OSRRefD22_18x_0)</f>
        <v>11531.75</v>
      </c>
      <c r="E192" s="1"/>
      <c r="F192" s="5">
        <f t="shared" ref="F192:F196" si="97">IF(D$12=0,0,D192/D$12)</f>
        <v>2.6297089531832556E-2</v>
      </c>
      <c r="G192" s="1"/>
      <c r="H192" s="1">
        <f>SUM(OSRRefH22_18x_0)</f>
        <v>16522</v>
      </c>
      <c r="I192" s="1"/>
      <c r="J192" s="5">
        <f t="shared" ref="J192:J196" si="98">IF(H$12=0,0,H192/H$12)</f>
        <v>2.9218017482709167E-2</v>
      </c>
      <c r="K192" s="1"/>
      <c r="L192" s="1">
        <f t="shared" ref="L192:L196" si="99">+D192-H192</f>
        <v>-4990.25</v>
      </c>
      <c r="M192" s="1"/>
      <c r="N192" s="5">
        <f t="shared" ref="N192:N196" si="100">IF(H192=0,0,L192/H192)</f>
        <v>-0.30203667836823628</v>
      </c>
      <c r="O192" s="13"/>
      <c r="P192" s="1">
        <f>SUM(OSRRefP22_18x_0)</f>
        <v>48578.649999999994</v>
      </c>
      <c r="Q192" s="1"/>
      <c r="R192" s="5">
        <f t="shared" ref="R192:R196" si="101">IF(P$12=0,0,P192/P$12)</f>
        <v>1.0323774860188763E-2</v>
      </c>
      <c r="S192" s="1"/>
      <c r="T192" s="1">
        <f>SUM(OSRRefT22_18x_0)</f>
        <v>104513</v>
      </c>
      <c r="U192" s="1"/>
      <c r="V192" s="5">
        <f t="shared" ref="V192:V196" si="102">IF(T$12=0,0,T192/T$12)</f>
        <v>1.1950871447487885E-2</v>
      </c>
      <c r="W192" s="1"/>
      <c r="X192" s="1">
        <f t="shared" ref="X192:X196" si="103">+P192-T192</f>
        <v>-55934.350000000006</v>
      </c>
      <c r="Y192" s="1"/>
      <c r="Z192" s="5">
        <f t="shared" ref="Z192:Z196" si="104">IF(T192=0,0,X192/T192)</f>
        <v>-0.53519035909408408</v>
      </c>
    </row>
    <row r="193" spans="1:26" s="24" customFormat="1" hidden="1" outlineLevel="2" x14ac:dyDescent="0.25">
      <c r="A193" s="26"/>
      <c r="B193" s="11" t="str">
        <f>CONCATENATE("          ", "6252", " - ", "ROYALTY DUE CSTV")</f>
        <v xml:space="preserve">          6252 - ROYALTY DUE CSTV</v>
      </c>
      <c r="C193" s="11"/>
      <c r="D193" s="7"/>
      <c r="E193" s="2"/>
      <c r="F193" s="6">
        <f t="shared" si="97"/>
        <v>0</v>
      </c>
      <c r="G193" s="2"/>
      <c r="H193" s="7">
        <v>1085</v>
      </c>
      <c r="I193" s="2"/>
      <c r="J193" s="6">
        <f t="shared" si="98"/>
        <v>1.9187476678815788E-3</v>
      </c>
      <c r="K193" s="2"/>
      <c r="L193" s="7">
        <f t="shared" si="99"/>
        <v>-1085</v>
      </c>
      <c r="M193" s="2"/>
      <c r="N193" s="6">
        <f t="shared" si="100"/>
        <v>-1</v>
      </c>
      <c r="O193" s="11"/>
      <c r="P193" s="7"/>
      <c r="Q193" s="2"/>
      <c r="R193" s="6">
        <f t="shared" si="101"/>
        <v>0</v>
      </c>
      <c r="S193" s="2"/>
      <c r="T193" s="7">
        <v>10850</v>
      </c>
      <c r="U193" s="2"/>
      <c r="V193" s="6">
        <f t="shared" si="102"/>
        <v>1.2406777645387994E-3</v>
      </c>
      <c r="W193" s="2"/>
      <c r="X193" s="7">
        <f t="shared" si="103"/>
        <v>-10850</v>
      </c>
      <c r="Y193" s="2"/>
      <c r="Z193" s="6">
        <f t="shared" si="104"/>
        <v>-1</v>
      </c>
    </row>
    <row r="194" spans="1:26" s="24" customFormat="1" hidden="1" outlineLevel="2" x14ac:dyDescent="0.25">
      <c r="A194" s="26"/>
      <c r="B194" s="11" t="str">
        <f>CONCATENATE("          ", "6253", " - ", "ROYALTY DUE ATHLETICS-LRG")</f>
        <v xml:space="preserve">          6253 - ROYALTY DUE ATHLETICS-LRG</v>
      </c>
      <c r="C194" s="11"/>
      <c r="D194" s="7">
        <v>8961.48</v>
      </c>
      <c r="E194" s="2"/>
      <c r="F194" s="6">
        <f t="shared" si="97"/>
        <v>2.0435826470199821E-2</v>
      </c>
      <c r="G194" s="2"/>
      <c r="H194" s="7">
        <v>4037</v>
      </c>
      <c r="I194" s="2"/>
      <c r="J194" s="6">
        <f t="shared" si="98"/>
        <v>7.1391560693437172E-3</v>
      </c>
      <c r="K194" s="2"/>
      <c r="L194" s="7">
        <f t="shared" si="99"/>
        <v>4924.4799999999996</v>
      </c>
      <c r="M194" s="2"/>
      <c r="N194" s="6">
        <f t="shared" si="100"/>
        <v>1.2198365122615802</v>
      </c>
      <c r="O194" s="11"/>
      <c r="P194" s="7">
        <v>35159.06</v>
      </c>
      <c r="Q194" s="2"/>
      <c r="R194" s="6">
        <f t="shared" si="101"/>
        <v>7.4718877477218558E-3</v>
      </c>
      <c r="S194" s="2"/>
      <c r="T194" s="7">
        <v>40370</v>
      </c>
      <c r="U194" s="2"/>
      <c r="V194" s="6">
        <f t="shared" si="102"/>
        <v>4.6162360695328423E-3</v>
      </c>
      <c r="W194" s="2"/>
      <c r="X194" s="7">
        <f t="shared" si="103"/>
        <v>-5210.9400000000023</v>
      </c>
      <c r="Y194" s="2"/>
      <c r="Z194" s="6">
        <f t="shared" si="104"/>
        <v>-0.1290795144909587</v>
      </c>
    </row>
    <row r="195" spans="1:26" s="24" customFormat="1" hidden="1" outlineLevel="2" x14ac:dyDescent="0.25">
      <c r="A195" s="26"/>
      <c r="B195" s="11" t="str">
        <f>CONCATENATE("          ", "6254", " - ", "ROYALTY &amp; COMMISSIONS")</f>
        <v xml:space="preserve">          6254 - ROYALTY &amp; COMMISSIONS</v>
      </c>
      <c r="C195" s="11"/>
      <c r="D195" s="7"/>
      <c r="E195" s="2"/>
      <c r="F195" s="6">
        <f t="shared" si="97"/>
        <v>0</v>
      </c>
      <c r="G195" s="2"/>
      <c r="H195" s="7">
        <v>1149</v>
      </c>
      <c r="I195" s="2"/>
      <c r="J195" s="6">
        <f t="shared" si="98"/>
        <v>2.0319272538211375E-3</v>
      </c>
      <c r="K195" s="2"/>
      <c r="L195" s="7">
        <f t="shared" si="99"/>
        <v>-1149</v>
      </c>
      <c r="M195" s="2"/>
      <c r="N195" s="6">
        <f t="shared" si="100"/>
        <v>-1</v>
      </c>
      <c r="O195" s="11"/>
      <c r="P195" s="7">
        <v>185.7</v>
      </c>
      <c r="Q195" s="2"/>
      <c r="R195" s="6">
        <f t="shared" si="101"/>
        <v>3.946435299328107E-5</v>
      </c>
      <c r="S195" s="2"/>
      <c r="T195" s="7">
        <v>11490</v>
      </c>
      <c r="U195" s="2"/>
      <c r="V195" s="6">
        <f t="shared" si="102"/>
        <v>1.313860600419429E-3</v>
      </c>
      <c r="W195" s="2"/>
      <c r="X195" s="7">
        <f t="shared" si="103"/>
        <v>-11304.3</v>
      </c>
      <c r="Y195" s="2"/>
      <c r="Z195" s="6">
        <f t="shared" si="104"/>
        <v>-0.98383812010443861</v>
      </c>
    </row>
    <row r="196" spans="1:26" s="24" customFormat="1" hidden="1" outlineLevel="2" x14ac:dyDescent="0.25">
      <c r="A196" s="26"/>
      <c r="B196" s="11" t="str">
        <f>CONCATENATE("          ", "6259", " - ", "ROYALTY &amp; COMMISSIONS")</f>
        <v xml:space="preserve">          6259 - ROYALTY &amp; COMMISSIONS</v>
      </c>
      <c r="C196" s="11"/>
      <c r="D196" s="7">
        <v>2570.27</v>
      </c>
      <c r="E196" s="2"/>
      <c r="F196" s="6">
        <f t="shared" si="97"/>
        <v>5.8612630616327321E-3</v>
      </c>
      <c r="G196" s="2"/>
      <c r="H196" s="7">
        <v>10251</v>
      </c>
      <c r="I196" s="2"/>
      <c r="J196" s="6">
        <f t="shared" si="98"/>
        <v>1.8128186491662732E-2</v>
      </c>
      <c r="K196" s="2"/>
      <c r="L196" s="7">
        <f t="shared" si="99"/>
        <v>-7680.73</v>
      </c>
      <c r="M196" s="2"/>
      <c r="N196" s="6">
        <f t="shared" si="100"/>
        <v>-0.74926641303287478</v>
      </c>
      <c r="O196" s="11"/>
      <c r="P196" s="7">
        <v>13233.89</v>
      </c>
      <c r="Q196" s="2"/>
      <c r="R196" s="6">
        <f t="shared" si="101"/>
        <v>2.8124227594736261E-3</v>
      </c>
      <c r="S196" s="2"/>
      <c r="T196" s="7">
        <v>41803</v>
      </c>
      <c r="U196" s="2"/>
      <c r="V196" s="6">
        <f t="shared" si="102"/>
        <v>4.7800970129968142E-3</v>
      </c>
      <c r="W196" s="2"/>
      <c r="X196" s="7">
        <f t="shared" si="103"/>
        <v>-28569.11</v>
      </c>
      <c r="Y196" s="2"/>
      <c r="Z196" s="6">
        <f t="shared" si="104"/>
        <v>-0.68342248164007369</v>
      </c>
    </row>
    <row r="197" spans="1:26" s="25" customFormat="1" outlineLevel="1" collapsed="1" x14ac:dyDescent="0.25">
      <c r="A197" s="27"/>
      <c r="B197" s="13" t="str">
        <f>CONCATENATE("     ","Services                                          ")</f>
        <v xml:space="preserve">     Services                                          </v>
      </c>
      <c r="C197" s="13"/>
      <c r="D197" s="1">
        <f>SUM(OSRRefD22_19x_0)</f>
        <v>4447.17</v>
      </c>
      <c r="E197" s="1"/>
      <c r="F197" s="5">
        <f t="shared" ref="F197:F202" si="105">IF(D$12=0,0,D197/D$12)</f>
        <v>1.0141359954324348E-2</v>
      </c>
      <c r="G197" s="1"/>
      <c r="H197" s="1">
        <f>SUM(OSRRefH22_19x_0)</f>
        <v>5672</v>
      </c>
      <c r="I197" s="1"/>
      <c r="J197" s="5">
        <f t="shared" ref="J197:J202" si="106">IF(H$12=0,0,H197/H$12)</f>
        <v>1.0030540803893378E-2</v>
      </c>
      <c r="K197" s="1"/>
      <c r="L197" s="1">
        <f t="shared" ref="L197:L202" si="107">+D197-H197</f>
        <v>-1224.83</v>
      </c>
      <c r="M197" s="1"/>
      <c r="N197" s="5">
        <f t="shared" ref="N197:N202" si="108">IF(H197=0,0,L197/H197)</f>
        <v>-0.21594322990126938</v>
      </c>
      <c r="O197" s="13"/>
      <c r="P197" s="1">
        <f>SUM(OSRRefP22_19x_0)</f>
        <v>42590.19</v>
      </c>
      <c r="Q197" s="1"/>
      <c r="R197" s="5">
        <f t="shared" ref="R197:R202" si="109">IF(P$12=0,0,P197/P$12)</f>
        <v>9.0511270447544943E-3</v>
      </c>
      <c r="S197" s="1"/>
      <c r="T197" s="1">
        <f>SUM(OSRRefT22_19x_0)</f>
        <v>57157</v>
      </c>
      <c r="U197" s="1"/>
      <c r="V197" s="5">
        <f t="shared" ref="V197:V202" si="110">IF(T$12=0,0,T197/T$12)</f>
        <v>6.5357989850455449E-3</v>
      </c>
      <c r="W197" s="1"/>
      <c r="X197" s="1">
        <f t="shared" ref="X197:X202" si="111">+P197-T197</f>
        <v>-14566.809999999998</v>
      </c>
      <c r="Y197" s="1"/>
      <c r="Z197" s="5">
        <f t="shared" ref="Z197:Z202" si="112">IF(T197=0,0,X197/T197)</f>
        <v>-0.2548560981157163</v>
      </c>
    </row>
    <row r="198" spans="1:26" s="24" customFormat="1" hidden="1" outlineLevel="2" x14ac:dyDescent="0.25">
      <c r="A198" s="26"/>
      <c r="B198" s="11" t="str">
        <f>CONCATENATE("          ", "6282", " - ", "JANITORIAL/EXTERMINATOR EXPENS")</f>
        <v xml:space="preserve">          6282 - JANITORIAL/EXTERMINATOR EXPENS</v>
      </c>
      <c r="C198" s="11"/>
      <c r="D198" s="7">
        <v>151.85</v>
      </c>
      <c r="E198" s="2"/>
      <c r="F198" s="6">
        <f t="shared" si="105"/>
        <v>3.4627988340093856E-4</v>
      </c>
      <c r="G198" s="2"/>
      <c r="H198" s="7">
        <v>4000</v>
      </c>
      <c r="I198" s="2"/>
      <c r="J198" s="6">
        <f t="shared" si="106"/>
        <v>7.0737241212224106E-3</v>
      </c>
      <c r="K198" s="2"/>
      <c r="L198" s="7">
        <f t="shared" si="107"/>
        <v>-3848.15</v>
      </c>
      <c r="M198" s="2"/>
      <c r="N198" s="6">
        <f t="shared" si="108"/>
        <v>-0.96203749999999999</v>
      </c>
      <c r="O198" s="11"/>
      <c r="P198" s="7">
        <v>9492.93</v>
      </c>
      <c r="Q198" s="2"/>
      <c r="R198" s="6">
        <f t="shared" si="109"/>
        <v>2.0174062491142039E-3</v>
      </c>
      <c r="S198" s="2"/>
      <c r="T198" s="7">
        <v>41416</v>
      </c>
      <c r="U198" s="2"/>
      <c r="V198" s="6">
        <f t="shared" si="110"/>
        <v>4.7358442669252461E-3</v>
      </c>
      <c r="W198" s="2"/>
      <c r="X198" s="7">
        <f t="shared" si="111"/>
        <v>-31923.07</v>
      </c>
      <c r="Y198" s="2"/>
      <c r="Z198" s="6">
        <f t="shared" si="112"/>
        <v>-0.77079075719528689</v>
      </c>
    </row>
    <row r="199" spans="1:26" s="24" customFormat="1" hidden="1" outlineLevel="2" x14ac:dyDescent="0.25">
      <c r="A199" s="26"/>
      <c r="B199" s="11" t="str">
        <f>CONCATENATE("          ", "6283", " - ", "PLANT SERVICE")</f>
        <v xml:space="preserve">          6283 - PLANT SERVICE</v>
      </c>
      <c r="C199" s="11"/>
      <c r="D199" s="7"/>
      <c r="E199" s="2"/>
      <c r="F199" s="6">
        <f t="shared" si="105"/>
        <v>0</v>
      </c>
      <c r="G199" s="2"/>
      <c r="H199" s="7">
        <v>0</v>
      </c>
      <c r="I199" s="2"/>
      <c r="J199" s="6">
        <f t="shared" si="106"/>
        <v>0</v>
      </c>
      <c r="K199" s="2"/>
      <c r="L199" s="7">
        <f t="shared" si="107"/>
        <v>0</v>
      </c>
      <c r="M199" s="2"/>
      <c r="N199" s="6">
        <f t="shared" si="108"/>
        <v>0</v>
      </c>
      <c r="O199" s="11"/>
      <c r="P199" s="7">
        <v>171.31</v>
      </c>
      <c r="Q199" s="2"/>
      <c r="R199" s="6">
        <f t="shared" si="109"/>
        <v>3.6406237540543777E-5</v>
      </c>
      <c r="S199" s="2"/>
      <c r="T199" s="7">
        <v>0</v>
      </c>
      <c r="U199" s="2"/>
      <c r="V199" s="6">
        <f t="shared" si="110"/>
        <v>0</v>
      </c>
      <c r="W199" s="2"/>
      <c r="X199" s="7">
        <f t="shared" si="111"/>
        <v>171.31</v>
      </c>
      <c r="Y199" s="2"/>
      <c r="Z199" s="6">
        <f t="shared" si="112"/>
        <v>0</v>
      </c>
    </row>
    <row r="200" spans="1:26" s="24" customFormat="1" hidden="1" outlineLevel="2" x14ac:dyDescent="0.25">
      <c r="A200" s="26"/>
      <c r="B200" s="11" t="str">
        <f>CONCATENATE("          ", "6284", " - ", "TRASH REMOVAL EXPENSE")</f>
        <v xml:space="preserve">          6284 - TRASH REMOVAL EXPENSE</v>
      </c>
      <c r="C200" s="11"/>
      <c r="D200" s="7">
        <v>431.57</v>
      </c>
      <c r="E200" s="2"/>
      <c r="F200" s="6">
        <f t="shared" si="105"/>
        <v>9.8415547763808404E-4</v>
      </c>
      <c r="G200" s="2"/>
      <c r="H200" s="7">
        <v>344</v>
      </c>
      <c r="I200" s="2"/>
      <c r="J200" s="6">
        <f t="shared" si="106"/>
        <v>6.0834027442512734E-4</v>
      </c>
      <c r="K200" s="2"/>
      <c r="L200" s="7">
        <f t="shared" si="107"/>
        <v>87.57</v>
      </c>
      <c r="M200" s="2"/>
      <c r="N200" s="6">
        <f t="shared" si="108"/>
        <v>0.25456395348837207</v>
      </c>
      <c r="O200" s="11"/>
      <c r="P200" s="7">
        <v>2604.7199999999998</v>
      </c>
      <c r="Q200" s="2"/>
      <c r="R200" s="6">
        <f t="shared" si="109"/>
        <v>5.5354652411771172E-4</v>
      </c>
      <c r="S200" s="2"/>
      <c r="T200" s="7">
        <v>3604</v>
      </c>
      <c r="U200" s="2"/>
      <c r="V200" s="6">
        <f t="shared" si="110"/>
        <v>4.1211084455279568E-4</v>
      </c>
      <c r="W200" s="2"/>
      <c r="X200" s="7">
        <f t="shared" si="111"/>
        <v>-999.2800000000002</v>
      </c>
      <c r="Y200" s="2"/>
      <c r="Z200" s="6">
        <f t="shared" si="112"/>
        <v>-0.27726970033296344</v>
      </c>
    </row>
    <row r="201" spans="1:26" s="24" customFormat="1" hidden="1" outlineLevel="2" x14ac:dyDescent="0.25">
      <c r="A201" s="26"/>
      <c r="B201" s="11" t="str">
        <f>CONCATENATE("          ", "6285", " - ", "JANITORIAL SERVICES")</f>
        <v xml:space="preserve">          6285 - JANITORIAL SERVICES</v>
      </c>
      <c r="C201" s="11"/>
      <c r="D201" s="7">
        <v>3863.75</v>
      </c>
      <c r="E201" s="2"/>
      <c r="F201" s="6">
        <f t="shared" si="105"/>
        <v>8.8109245932853249E-3</v>
      </c>
      <c r="G201" s="2"/>
      <c r="H201" s="7">
        <v>1224</v>
      </c>
      <c r="I201" s="2"/>
      <c r="J201" s="6">
        <f t="shared" si="106"/>
        <v>2.1645595810940573E-3</v>
      </c>
      <c r="K201" s="2"/>
      <c r="L201" s="7">
        <f t="shared" si="107"/>
        <v>2639.75</v>
      </c>
      <c r="M201" s="2"/>
      <c r="N201" s="6">
        <f t="shared" si="108"/>
        <v>2.1566584967320264</v>
      </c>
      <c r="O201" s="11"/>
      <c r="P201" s="7">
        <v>30321.23</v>
      </c>
      <c r="Q201" s="2"/>
      <c r="R201" s="6">
        <f t="shared" si="109"/>
        <v>6.4437680339820341E-3</v>
      </c>
      <c r="S201" s="2"/>
      <c r="T201" s="7">
        <v>11104</v>
      </c>
      <c r="U201" s="2"/>
      <c r="V201" s="6">
        <f t="shared" si="110"/>
        <v>1.2697222025289244E-3</v>
      </c>
      <c r="W201" s="2"/>
      <c r="X201" s="7">
        <f t="shared" si="111"/>
        <v>19217.23</v>
      </c>
      <c r="Y201" s="2"/>
      <c r="Z201" s="6">
        <f t="shared" si="112"/>
        <v>1.7306583213256483</v>
      </c>
    </row>
    <row r="202" spans="1:26" s="24" customFormat="1" hidden="1" outlineLevel="2" x14ac:dyDescent="0.25">
      <c r="A202" s="26"/>
      <c r="B202" s="11" t="str">
        <f>CONCATENATE("          ", "6286", " - ", "LAUNDRY EXPENSE")</f>
        <v xml:space="preserve">          6286 - LAUNDRY EXPENSE</v>
      </c>
      <c r="C202" s="11"/>
      <c r="D202" s="7"/>
      <c r="E202" s="2"/>
      <c r="F202" s="6">
        <f t="shared" si="105"/>
        <v>0</v>
      </c>
      <c r="G202" s="2"/>
      <c r="H202" s="7">
        <v>104</v>
      </c>
      <c r="I202" s="2"/>
      <c r="J202" s="6">
        <f t="shared" si="106"/>
        <v>1.8391682715178267E-4</v>
      </c>
      <c r="K202" s="2"/>
      <c r="L202" s="7">
        <f t="shared" si="107"/>
        <v>-104</v>
      </c>
      <c r="M202" s="2"/>
      <c r="N202" s="6">
        <f t="shared" si="108"/>
        <v>-1</v>
      </c>
      <c r="O202" s="11"/>
      <c r="P202" s="7"/>
      <c r="Q202" s="2"/>
      <c r="R202" s="6">
        <f t="shared" si="109"/>
        <v>0</v>
      </c>
      <c r="S202" s="2"/>
      <c r="T202" s="7">
        <v>1033</v>
      </c>
      <c r="U202" s="2"/>
      <c r="V202" s="6">
        <f t="shared" si="110"/>
        <v>1.1812167103857879E-4</v>
      </c>
      <c r="W202" s="2"/>
      <c r="X202" s="7">
        <f t="shared" si="111"/>
        <v>-1033</v>
      </c>
      <c r="Y202" s="2"/>
      <c r="Z202" s="6">
        <f t="shared" si="112"/>
        <v>-1</v>
      </c>
    </row>
    <row r="203" spans="1:26" s="25" customFormat="1" outlineLevel="1" collapsed="1" x14ac:dyDescent="0.25">
      <c r="A203" s="27"/>
      <c r="B203" s="13" t="str">
        <f>CONCATENATE("     ","Subscriptions &amp; Dues                              ")</f>
        <v xml:space="preserve">     Subscriptions &amp; Dues                              </v>
      </c>
      <c r="C203" s="13"/>
      <c r="D203" s="1">
        <f>SUM(OSRRefD22_20x_0)</f>
        <v>2343.58</v>
      </c>
      <c r="E203" s="1"/>
      <c r="F203" s="5">
        <f t="shared" ref="F203:F205" si="113">IF(D$12=0,0,D203/D$12)</f>
        <v>5.3443174787011632E-3</v>
      </c>
      <c r="G203" s="1"/>
      <c r="H203" s="1">
        <f>SUM(OSRRefH22_20x_0)</f>
        <v>3076</v>
      </c>
      <c r="I203" s="1"/>
      <c r="J203" s="5">
        <f t="shared" ref="J203:J205" si="114">IF(H$12=0,0,H203/H$12)</f>
        <v>5.4396938492200335E-3</v>
      </c>
      <c r="K203" s="1"/>
      <c r="L203" s="1">
        <f t="shared" ref="L203:L205" si="115">+D203-H203</f>
        <v>-732.42000000000007</v>
      </c>
      <c r="M203" s="1"/>
      <c r="N203" s="5">
        <f t="shared" ref="N203:N205" si="116">IF(H203=0,0,L203/H203)</f>
        <v>-0.23810793237971395</v>
      </c>
      <c r="O203" s="13"/>
      <c r="P203" s="1">
        <f>SUM(OSRRefP22_20x_0)</f>
        <v>6677.91</v>
      </c>
      <c r="Q203" s="1"/>
      <c r="R203" s="5">
        <f t="shared" ref="R203:R205" si="117">IF(P$12=0,0,P203/P$12)</f>
        <v>1.4191674609443272E-3</v>
      </c>
      <c r="S203" s="1"/>
      <c r="T203" s="1">
        <f>SUM(OSRRefT22_20x_0)</f>
        <v>15955</v>
      </c>
      <c r="U203" s="1"/>
      <c r="V203" s="5">
        <f t="shared" ref="V203:V205" si="118">IF(T$12=0,0,T203/T$12)</f>
        <v>1.8244252288678845E-3</v>
      </c>
      <c r="W203" s="1"/>
      <c r="X203" s="1">
        <f t="shared" ref="X203:X205" si="119">+P203-T203</f>
        <v>-9277.09</v>
      </c>
      <c r="Y203" s="1"/>
      <c r="Z203" s="5">
        <f t="shared" ref="Z203:Z205" si="120">IF(T203=0,0,X203/T203)</f>
        <v>-0.58145346286430588</v>
      </c>
    </row>
    <row r="204" spans="1:26" s="24" customFormat="1" hidden="1" outlineLevel="2" x14ac:dyDescent="0.25">
      <c r="A204" s="26"/>
      <c r="B204" s="11" t="str">
        <f>CONCATENATE("          ", "6258", " - ", "MEMBERSHIP DUES")</f>
        <v xml:space="preserve">          6258 - MEMBERSHIP DUES</v>
      </c>
      <c r="C204" s="11"/>
      <c r="D204" s="7">
        <v>328.71</v>
      </c>
      <c r="E204" s="2"/>
      <c r="F204" s="6">
        <f t="shared" si="113"/>
        <v>7.495927591223083E-4</v>
      </c>
      <c r="G204" s="2"/>
      <c r="H204" s="7">
        <v>1100</v>
      </c>
      <c r="I204" s="2"/>
      <c r="J204" s="6">
        <f t="shared" si="114"/>
        <v>1.9452741333361627E-3</v>
      </c>
      <c r="K204" s="2"/>
      <c r="L204" s="7">
        <f t="shared" si="115"/>
        <v>-771.29</v>
      </c>
      <c r="M204" s="2"/>
      <c r="N204" s="6">
        <f t="shared" si="116"/>
        <v>-0.70117272727272728</v>
      </c>
      <c r="O204" s="11"/>
      <c r="P204" s="7">
        <v>2435.23</v>
      </c>
      <c r="Q204" s="2"/>
      <c r="R204" s="6">
        <f t="shared" si="117"/>
        <v>5.175270669888415E-4</v>
      </c>
      <c r="S204" s="2"/>
      <c r="T204" s="7">
        <v>12395</v>
      </c>
      <c r="U204" s="2"/>
      <c r="V204" s="6">
        <f t="shared" si="118"/>
        <v>1.4173457042818819E-3</v>
      </c>
      <c r="W204" s="2"/>
      <c r="X204" s="7">
        <f t="shared" si="119"/>
        <v>-9959.77</v>
      </c>
      <c r="Y204" s="2"/>
      <c r="Z204" s="6">
        <f t="shared" si="120"/>
        <v>-0.80353126260588947</v>
      </c>
    </row>
    <row r="205" spans="1:26" s="24" customFormat="1" hidden="1" outlineLevel="2" x14ac:dyDescent="0.25">
      <c r="A205" s="26"/>
      <c r="B205" s="11" t="str">
        <f>CONCATENATE("          ", "6275", " - ", "SUBSCRIPTIONS")</f>
        <v xml:space="preserve">          6275 - SUBSCRIPTIONS</v>
      </c>
      <c r="C205" s="11"/>
      <c r="D205" s="7">
        <v>2014.87</v>
      </c>
      <c r="E205" s="2"/>
      <c r="F205" s="6">
        <f t="shared" si="113"/>
        <v>4.5947247195788545E-3</v>
      </c>
      <c r="G205" s="2"/>
      <c r="H205" s="7">
        <v>1976</v>
      </c>
      <c r="I205" s="2"/>
      <c r="J205" s="6">
        <f t="shared" si="114"/>
        <v>3.4944197158838708E-3</v>
      </c>
      <c r="K205" s="2"/>
      <c r="L205" s="7">
        <f t="shared" si="115"/>
        <v>38.869999999999891</v>
      </c>
      <c r="M205" s="2"/>
      <c r="N205" s="6">
        <f t="shared" si="116"/>
        <v>1.9671052631578891E-2</v>
      </c>
      <c r="O205" s="11"/>
      <c r="P205" s="7">
        <v>4242.68</v>
      </c>
      <c r="Q205" s="2"/>
      <c r="R205" s="6">
        <f t="shared" si="117"/>
        <v>9.0164039395548596E-4</v>
      </c>
      <c r="S205" s="2"/>
      <c r="T205" s="7">
        <v>3560</v>
      </c>
      <c r="U205" s="2"/>
      <c r="V205" s="6">
        <f t="shared" si="118"/>
        <v>4.0707952458600243E-4</v>
      </c>
      <c r="W205" s="2"/>
      <c r="X205" s="7">
        <f t="shared" si="119"/>
        <v>682.68000000000029</v>
      </c>
      <c r="Y205" s="2"/>
      <c r="Z205" s="6">
        <f t="shared" si="120"/>
        <v>0.19176404494382029</v>
      </c>
    </row>
    <row r="206" spans="1:26" s="25" customFormat="1" outlineLevel="1" collapsed="1" x14ac:dyDescent="0.25">
      <c r="A206" s="27"/>
      <c r="B206" s="13" t="str">
        <f>CONCATENATE("     ","Supplies                                          ")</f>
        <v xml:space="preserve">     Supplies                                          </v>
      </c>
      <c r="C206" s="13"/>
      <c r="D206" s="1">
        <f>SUM(OSRRefD22_21x_0)</f>
        <v>8692.42</v>
      </c>
      <c r="E206" s="1"/>
      <c r="F206" s="5">
        <f t="shared" ref="F206:F215" si="121">IF(D$12=0,0,D206/D$12)</f>
        <v>1.9822260020230402E-2</v>
      </c>
      <c r="G206" s="1"/>
      <c r="H206" s="1">
        <f>SUM(OSRRefH22_21x_0)</f>
        <v>12274</v>
      </c>
      <c r="I206" s="1"/>
      <c r="J206" s="5">
        <f t="shared" ref="J206:J215" si="122">IF(H$12=0,0,H206/H$12)</f>
        <v>2.1705722465970967E-2</v>
      </c>
      <c r="K206" s="1"/>
      <c r="L206" s="1">
        <f t="shared" ref="L206:L215" si="123">+D206-H206</f>
        <v>-3581.58</v>
      </c>
      <c r="M206" s="1"/>
      <c r="N206" s="5">
        <f t="shared" ref="N206:N215" si="124">IF(H206=0,0,L206/H206)</f>
        <v>-0.29180218347726899</v>
      </c>
      <c r="O206" s="13"/>
      <c r="P206" s="1">
        <f>SUM(OSRRefP22_21x_0)</f>
        <v>112790.78</v>
      </c>
      <c r="Q206" s="1"/>
      <c r="R206" s="5">
        <f t="shared" ref="R206:R215" si="125">IF(P$12=0,0,P206/P$12)</f>
        <v>2.3969925451305905E-2</v>
      </c>
      <c r="S206" s="1"/>
      <c r="T206" s="1">
        <f>SUM(OSRRefT22_21x_0)</f>
        <v>166601</v>
      </c>
      <c r="U206" s="1"/>
      <c r="V206" s="5">
        <f t="shared" ref="V206:V215" si="126">IF(T$12=0,0,T206/T$12)</f>
        <v>1.9050521313357469E-2</v>
      </c>
      <c r="W206" s="1"/>
      <c r="X206" s="1">
        <f t="shared" ref="X206:X215" si="127">+P206-T206</f>
        <v>-53810.22</v>
      </c>
      <c r="Y206" s="1"/>
      <c r="Z206" s="5">
        <f t="shared" ref="Z206:Z215" si="128">IF(T206=0,0,X206/T206)</f>
        <v>-0.3229885774995348</v>
      </c>
    </row>
    <row r="207" spans="1:26" s="24" customFormat="1" hidden="1" outlineLevel="2" x14ac:dyDescent="0.25">
      <c r="A207" s="26"/>
      <c r="B207" s="11" t="str">
        <f>CONCATENATE("          ", "6234", " - ", "EXPENDABLE SUPPLIES &amp; EQUIPMEN")</f>
        <v xml:space="preserve">          6234 - EXPENDABLE SUPPLIES &amp; EQUIPMEN</v>
      </c>
      <c r="C207" s="11"/>
      <c r="D207" s="7">
        <v>53</v>
      </c>
      <c r="E207" s="2"/>
      <c r="F207" s="6">
        <f t="shared" si="121"/>
        <v>1.2086159907968222E-4</v>
      </c>
      <c r="G207" s="2"/>
      <c r="H207" s="7">
        <v>150</v>
      </c>
      <c r="I207" s="2"/>
      <c r="J207" s="6">
        <f t="shared" si="122"/>
        <v>2.6526465454584041E-4</v>
      </c>
      <c r="K207" s="2"/>
      <c r="L207" s="7">
        <f t="shared" si="123"/>
        <v>-97</v>
      </c>
      <c r="M207" s="2"/>
      <c r="N207" s="6">
        <f t="shared" si="124"/>
        <v>-0.64666666666666661</v>
      </c>
      <c r="O207" s="11"/>
      <c r="P207" s="7">
        <v>316.83</v>
      </c>
      <c r="Q207" s="2"/>
      <c r="R207" s="6">
        <f t="shared" si="125"/>
        <v>6.7331669137648037E-5</v>
      </c>
      <c r="S207" s="2"/>
      <c r="T207" s="7">
        <v>1528</v>
      </c>
      <c r="U207" s="2"/>
      <c r="V207" s="6">
        <f t="shared" si="126"/>
        <v>1.7472402066500328E-4</v>
      </c>
      <c r="W207" s="2"/>
      <c r="X207" s="7">
        <f t="shared" si="127"/>
        <v>-1211.17</v>
      </c>
      <c r="Y207" s="2"/>
      <c r="Z207" s="6">
        <f t="shared" si="128"/>
        <v>-0.79265052356020949</v>
      </c>
    </row>
    <row r="208" spans="1:26" s="24" customFormat="1" hidden="1" outlineLevel="2" x14ac:dyDescent="0.25">
      <c r="A208" s="26"/>
      <c r="B208" s="11" t="str">
        <f>CONCATENATE("          ", "6235", " - ", "COVID-19 EXPENSES")</f>
        <v xml:space="preserve">          6235 - COVID-19 EXPENSES</v>
      </c>
      <c r="C208" s="11"/>
      <c r="D208" s="7">
        <v>3407.79</v>
      </c>
      <c r="E208" s="2"/>
      <c r="F208" s="6">
        <f t="shared" si="121"/>
        <v>7.7711499759952878E-3</v>
      </c>
      <c r="G208" s="2"/>
      <c r="H208" s="7">
        <v>900</v>
      </c>
      <c r="I208" s="2"/>
      <c r="J208" s="6">
        <f t="shared" si="122"/>
        <v>1.5915879272750423E-3</v>
      </c>
      <c r="K208" s="2"/>
      <c r="L208" s="7">
        <f t="shared" si="123"/>
        <v>2507.79</v>
      </c>
      <c r="M208" s="2"/>
      <c r="N208" s="6">
        <f t="shared" si="124"/>
        <v>2.7864333333333331</v>
      </c>
      <c r="O208" s="11"/>
      <c r="P208" s="7">
        <v>41277.06</v>
      </c>
      <c r="Q208" s="2"/>
      <c r="R208" s="6">
        <f t="shared" si="125"/>
        <v>8.7720649777320529E-3</v>
      </c>
      <c r="S208" s="2"/>
      <c r="T208" s="7">
        <v>69100</v>
      </c>
      <c r="U208" s="2"/>
      <c r="V208" s="6">
        <f t="shared" si="126"/>
        <v>7.9014593114867318E-3</v>
      </c>
      <c r="W208" s="2"/>
      <c r="X208" s="7">
        <f t="shared" si="127"/>
        <v>-27822.940000000002</v>
      </c>
      <c r="Y208" s="2"/>
      <c r="Z208" s="6">
        <f t="shared" si="128"/>
        <v>-0.40264746743849494</v>
      </c>
    </row>
    <row r="209" spans="1:26" s="24" customFormat="1" hidden="1" outlineLevel="2" x14ac:dyDescent="0.25">
      <c r="A209" s="26"/>
      <c r="B209" s="11" t="str">
        <f>CONCATENATE("          ", "6237", " - ", "JANITORIAL SUPPLIES")</f>
        <v xml:space="preserve">          6237 - JANITORIAL SUPPLIES</v>
      </c>
      <c r="C209" s="11"/>
      <c r="D209" s="7">
        <v>588.30999999999995</v>
      </c>
      <c r="E209" s="2"/>
      <c r="F209" s="6">
        <f t="shared" si="121"/>
        <v>1.3415865538597706E-3</v>
      </c>
      <c r="G209" s="2"/>
      <c r="H209" s="7">
        <v>772</v>
      </c>
      <c r="I209" s="2"/>
      <c r="J209" s="6">
        <f t="shared" si="122"/>
        <v>1.3652287553959251E-3</v>
      </c>
      <c r="K209" s="2"/>
      <c r="L209" s="7">
        <f t="shared" si="123"/>
        <v>-183.69000000000005</v>
      </c>
      <c r="M209" s="2"/>
      <c r="N209" s="6">
        <f t="shared" si="124"/>
        <v>-0.23794041450777209</v>
      </c>
      <c r="O209" s="11"/>
      <c r="P209" s="7">
        <v>3807.12</v>
      </c>
      <c r="Q209" s="2"/>
      <c r="R209" s="6">
        <f t="shared" si="125"/>
        <v>8.0907661587388373E-4</v>
      </c>
      <c r="S209" s="2"/>
      <c r="T209" s="7">
        <v>4104</v>
      </c>
      <c r="U209" s="2"/>
      <c r="V209" s="6">
        <f t="shared" si="126"/>
        <v>4.6928493508453762E-4</v>
      </c>
      <c r="W209" s="2"/>
      <c r="X209" s="7">
        <f t="shared" si="127"/>
        <v>-296.88000000000011</v>
      </c>
      <c r="Y209" s="2"/>
      <c r="Z209" s="6">
        <f t="shared" si="128"/>
        <v>-7.2339181286549731E-2</v>
      </c>
    </row>
    <row r="210" spans="1:26" s="24" customFormat="1" hidden="1" outlineLevel="2" x14ac:dyDescent="0.25">
      <c r="A210" s="26"/>
      <c r="B210" s="11" t="str">
        <f>CONCATENATE("          ", "6241", " - ", "OFFICE EXPENSE")</f>
        <v xml:space="preserve">          6241 - OFFICE EXPENSE</v>
      </c>
      <c r="C210" s="11"/>
      <c r="D210" s="7">
        <v>514.54999999999995</v>
      </c>
      <c r="E210" s="2"/>
      <c r="F210" s="6">
        <f t="shared" si="121"/>
        <v>1.1733836944613299E-3</v>
      </c>
      <c r="G210" s="2"/>
      <c r="H210" s="7">
        <v>425</v>
      </c>
      <c r="I210" s="2"/>
      <c r="J210" s="6">
        <f t="shared" si="122"/>
        <v>7.5158318787988114E-4</v>
      </c>
      <c r="K210" s="2"/>
      <c r="L210" s="7">
        <f t="shared" si="123"/>
        <v>89.549999999999955</v>
      </c>
      <c r="M210" s="2"/>
      <c r="N210" s="6">
        <f t="shared" si="124"/>
        <v>0.21070588235294108</v>
      </c>
      <c r="O210" s="11"/>
      <c r="P210" s="7">
        <v>10999.01</v>
      </c>
      <c r="Q210" s="2"/>
      <c r="R210" s="6">
        <f t="shared" si="125"/>
        <v>2.3374734152753281E-3</v>
      </c>
      <c r="S210" s="2"/>
      <c r="T210" s="7">
        <v>5450</v>
      </c>
      <c r="U210" s="2"/>
      <c r="V210" s="6">
        <f t="shared" si="126"/>
        <v>6.2319758679598683E-4</v>
      </c>
      <c r="W210" s="2"/>
      <c r="X210" s="7">
        <f t="shared" si="127"/>
        <v>5549.01</v>
      </c>
      <c r="Y210" s="2"/>
      <c r="Z210" s="6">
        <f t="shared" si="128"/>
        <v>1.0181669724770643</v>
      </c>
    </row>
    <row r="211" spans="1:26" s="24" customFormat="1" hidden="1" outlineLevel="2" x14ac:dyDescent="0.25">
      <c r="A211" s="26"/>
      <c r="B211" s="11" t="str">
        <f>CONCATENATE("          ", "6243", " - ", "PAPER SUPPLIES")</f>
        <v xml:space="preserve">          6243 - PAPER SUPPLIES</v>
      </c>
      <c r="C211" s="11"/>
      <c r="D211" s="7">
        <v>199.93</v>
      </c>
      <c r="E211" s="2"/>
      <c r="F211" s="6">
        <f t="shared" si="121"/>
        <v>4.5592187743397864E-4</v>
      </c>
      <c r="G211" s="2"/>
      <c r="H211" s="7">
        <v>4800</v>
      </c>
      <c r="I211" s="2"/>
      <c r="J211" s="6">
        <f t="shared" si="122"/>
        <v>8.488468945466893E-3</v>
      </c>
      <c r="K211" s="2"/>
      <c r="L211" s="7">
        <f t="shared" si="123"/>
        <v>-4600.07</v>
      </c>
      <c r="M211" s="2"/>
      <c r="N211" s="6">
        <f t="shared" si="124"/>
        <v>-0.95834791666666663</v>
      </c>
      <c r="O211" s="11"/>
      <c r="P211" s="7">
        <v>6682.58</v>
      </c>
      <c r="Q211" s="2"/>
      <c r="R211" s="6">
        <f t="shared" si="125"/>
        <v>1.4201599139786764E-3</v>
      </c>
      <c r="S211" s="2"/>
      <c r="T211" s="7">
        <v>23322</v>
      </c>
      <c r="U211" s="2"/>
      <c r="V211" s="6">
        <f t="shared" si="126"/>
        <v>2.6668282787625699E-3</v>
      </c>
      <c r="W211" s="2"/>
      <c r="X211" s="7">
        <f t="shared" si="127"/>
        <v>-16639.419999999998</v>
      </c>
      <c r="Y211" s="2"/>
      <c r="Z211" s="6">
        <f t="shared" si="128"/>
        <v>-0.7134645399193893</v>
      </c>
    </row>
    <row r="212" spans="1:26" s="24" customFormat="1" hidden="1" outlineLevel="2" x14ac:dyDescent="0.25">
      <c r="A212" s="26"/>
      <c r="B212" s="11" t="str">
        <f>CONCATENATE("          ", "6244", " - ", "SAFETY SUPPLY EXPENSE")</f>
        <v xml:space="preserve">          6244 - SAFETY SUPPLY EXPENSE</v>
      </c>
      <c r="C212" s="11"/>
      <c r="D212" s="7"/>
      <c r="E212" s="2"/>
      <c r="F212" s="6">
        <f t="shared" si="121"/>
        <v>0</v>
      </c>
      <c r="G212" s="2"/>
      <c r="H212" s="7">
        <v>25</v>
      </c>
      <c r="I212" s="2"/>
      <c r="J212" s="6">
        <f t="shared" si="122"/>
        <v>4.4210775757640063E-5</v>
      </c>
      <c r="K212" s="2"/>
      <c r="L212" s="7">
        <f t="shared" si="123"/>
        <v>-25</v>
      </c>
      <c r="M212" s="2"/>
      <c r="N212" s="6">
        <f t="shared" si="124"/>
        <v>-1</v>
      </c>
      <c r="O212" s="11"/>
      <c r="P212" s="7"/>
      <c r="Q212" s="2"/>
      <c r="R212" s="6">
        <f t="shared" si="125"/>
        <v>0</v>
      </c>
      <c r="S212" s="2"/>
      <c r="T212" s="7">
        <v>100</v>
      </c>
      <c r="U212" s="2"/>
      <c r="V212" s="6">
        <f t="shared" si="126"/>
        <v>1.1434818106348382E-5</v>
      </c>
      <c r="W212" s="2"/>
      <c r="X212" s="7">
        <f t="shared" si="127"/>
        <v>-100</v>
      </c>
      <c r="Y212" s="2"/>
      <c r="Z212" s="6">
        <f t="shared" si="128"/>
        <v>-1</v>
      </c>
    </row>
    <row r="213" spans="1:26" s="24" customFormat="1" hidden="1" outlineLevel="2" x14ac:dyDescent="0.25">
      <c r="A213" s="26"/>
      <c r="B213" s="11" t="str">
        <f>CONCATENATE("          ", "6245", " - ", "PRINTING")</f>
        <v xml:space="preserve">          6245 - PRINTING</v>
      </c>
      <c r="C213" s="11"/>
      <c r="D213" s="7">
        <v>1766.38</v>
      </c>
      <c r="E213" s="2"/>
      <c r="F213" s="6">
        <f t="shared" si="121"/>
        <v>4.0280662524975301E-3</v>
      </c>
      <c r="G213" s="2"/>
      <c r="H213" s="7">
        <v>350</v>
      </c>
      <c r="I213" s="2"/>
      <c r="J213" s="6">
        <f t="shared" si="122"/>
        <v>6.1895086060696086E-4</v>
      </c>
      <c r="K213" s="2"/>
      <c r="L213" s="7">
        <f t="shared" si="123"/>
        <v>1416.38</v>
      </c>
      <c r="M213" s="2"/>
      <c r="N213" s="6">
        <f t="shared" si="124"/>
        <v>4.0468000000000002</v>
      </c>
      <c r="O213" s="11"/>
      <c r="P213" s="7">
        <v>3120.59</v>
      </c>
      <c r="Q213" s="2"/>
      <c r="R213" s="6">
        <f t="shared" si="125"/>
        <v>6.6317751915618184E-4</v>
      </c>
      <c r="S213" s="2"/>
      <c r="T213" s="7">
        <v>4600</v>
      </c>
      <c r="U213" s="2"/>
      <c r="V213" s="6">
        <f t="shared" si="126"/>
        <v>5.2600163289202558E-4</v>
      </c>
      <c r="W213" s="2"/>
      <c r="X213" s="7">
        <f t="shared" si="127"/>
        <v>-1479.4099999999999</v>
      </c>
      <c r="Y213" s="2"/>
      <c r="Z213" s="6">
        <f t="shared" si="128"/>
        <v>-0.32161086956521734</v>
      </c>
    </row>
    <row r="214" spans="1:26" s="24" customFormat="1" hidden="1" outlineLevel="2" x14ac:dyDescent="0.25">
      <c r="A214" s="26"/>
      <c r="B214" s="11" t="str">
        <f>CONCATENATE("          ", "6247", " - ", "STORE SUPPLIES")</f>
        <v xml:space="preserve">          6247 - STORE SUPPLIES</v>
      </c>
      <c r="C214" s="11"/>
      <c r="D214" s="7">
        <v>2162.46</v>
      </c>
      <c r="E214" s="2"/>
      <c r="F214" s="6">
        <f t="shared" si="121"/>
        <v>4.9312900669028232E-3</v>
      </c>
      <c r="G214" s="2"/>
      <c r="H214" s="7">
        <v>3352</v>
      </c>
      <c r="I214" s="2"/>
      <c r="J214" s="6">
        <f t="shared" si="122"/>
        <v>5.9277808135843801E-3</v>
      </c>
      <c r="K214" s="2"/>
      <c r="L214" s="7">
        <f t="shared" si="123"/>
        <v>-1189.54</v>
      </c>
      <c r="M214" s="2"/>
      <c r="N214" s="6">
        <f t="shared" si="124"/>
        <v>-0.35487470167064439</v>
      </c>
      <c r="O214" s="11"/>
      <c r="P214" s="7">
        <v>46587.59</v>
      </c>
      <c r="Q214" s="2"/>
      <c r="R214" s="6">
        <f t="shared" si="125"/>
        <v>9.9006413401521321E-3</v>
      </c>
      <c r="S214" s="2"/>
      <c r="T214" s="7">
        <v>42997</v>
      </c>
      <c r="U214" s="2"/>
      <c r="V214" s="6">
        <f t="shared" si="126"/>
        <v>4.916628741186614E-3</v>
      </c>
      <c r="W214" s="2"/>
      <c r="X214" s="7">
        <f t="shared" si="127"/>
        <v>3590.5899999999965</v>
      </c>
      <c r="Y214" s="2"/>
      <c r="Z214" s="6">
        <f t="shared" si="128"/>
        <v>8.3507919157150418E-2</v>
      </c>
    </row>
    <row r="215" spans="1:26" s="24" customFormat="1" hidden="1" outlineLevel="2" x14ac:dyDescent="0.25">
      <c r="A215" s="26"/>
      <c r="B215" s="11" t="str">
        <f>CONCATENATE("          ", "6248", " - ", "UNIFORMS")</f>
        <v xml:space="preserve">          6248 - UNIFORMS</v>
      </c>
      <c r="C215" s="11"/>
      <c r="D215" s="7"/>
      <c r="E215" s="2"/>
      <c r="F215" s="6">
        <f t="shared" si="121"/>
        <v>0</v>
      </c>
      <c r="G215" s="2"/>
      <c r="H215" s="7">
        <v>1500</v>
      </c>
      <c r="I215" s="2"/>
      <c r="J215" s="6">
        <f t="shared" si="122"/>
        <v>2.652646545458404E-3</v>
      </c>
      <c r="K215" s="2"/>
      <c r="L215" s="7">
        <f t="shared" si="123"/>
        <v>-1500</v>
      </c>
      <c r="M215" s="2"/>
      <c r="N215" s="6">
        <f t="shared" si="124"/>
        <v>-1</v>
      </c>
      <c r="O215" s="11"/>
      <c r="P215" s="7"/>
      <c r="Q215" s="2"/>
      <c r="R215" s="6">
        <f t="shared" si="125"/>
        <v>0</v>
      </c>
      <c r="S215" s="2"/>
      <c r="T215" s="7">
        <v>15400</v>
      </c>
      <c r="U215" s="2"/>
      <c r="V215" s="6">
        <f t="shared" si="126"/>
        <v>1.7609619883776509E-3</v>
      </c>
      <c r="W215" s="2"/>
      <c r="X215" s="7">
        <f t="shared" si="127"/>
        <v>-15400</v>
      </c>
      <c r="Y215" s="2"/>
      <c r="Z215" s="6">
        <f t="shared" si="128"/>
        <v>-1</v>
      </c>
    </row>
    <row r="216" spans="1:26" s="25" customFormat="1" outlineLevel="1" collapsed="1" x14ac:dyDescent="0.25">
      <c r="A216" s="27"/>
      <c r="B216" s="13" t="str">
        <f>CONCATENATE("     ","Telephone/Data Lines                              ")</f>
        <v xml:space="preserve">     Telephone/Data Lines                              </v>
      </c>
      <c r="C216" s="13"/>
      <c r="D216" s="1">
        <f>SUM(OSRRefD22_22x_0)</f>
        <v>2288.2600000000002</v>
      </c>
      <c r="E216" s="1"/>
      <c r="F216" s="5">
        <f t="shared" ref="F216:F218" si="129">IF(D$12=0,0,D216/D$12)</f>
        <v>5.2181653341523337E-3</v>
      </c>
      <c r="G216" s="1"/>
      <c r="H216" s="1">
        <f>SUM(OSRRefH22_22x_0)</f>
        <v>2680</v>
      </c>
      <c r="I216" s="1"/>
      <c r="J216" s="5">
        <f t="shared" ref="J216:J218" si="130">IF(H$12=0,0,H216/H$12)</f>
        <v>4.7393951612190151E-3</v>
      </c>
      <c r="K216" s="1"/>
      <c r="L216" s="1">
        <f t="shared" ref="L216:L218" si="131">+D216-H216</f>
        <v>-391.73999999999978</v>
      </c>
      <c r="M216" s="1"/>
      <c r="N216" s="5">
        <f t="shared" ref="N216:N218" si="132">IF(H216=0,0,L216/H216)</f>
        <v>-0.14617164179104469</v>
      </c>
      <c r="O216" s="13"/>
      <c r="P216" s="1">
        <f>SUM(OSRRefP22_22x_0)</f>
        <v>25349.82</v>
      </c>
      <c r="Q216" s="1"/>
      <c r="R216" s="5">
        <f t="shared" ref="R216:R218" si="133">IF(P$12=0,0,P216/P$12)</f>
        <v>5.3872603381590542E-3</v>
      </c>
      <c r="S216" s="1"/>
      <c r="T216" s="1">
        <f>SUM(OSRRefT22_22x_0)</f>
        <v>28195</v>
      </c>
      <c r="U216" s="1"/>
      <c r="V216" s="5">
        <f t="shared" ref="V216:V218" si="134">IF(T$12=0,0,T216/T$12)</f>
        <v>3.2240469650849264E-3</v>
      </c>
      <c r="W216" s="1"/>
      <c r="X216" s="1">
        <f t="shared" ref="X216:X218" si="135">+P216-T216</f>
        <v>-2845.1800000000003</v>
      </c>
      <c r="Y216" s="1"/>
      <c r="Z216" s="5">
        <f t="shared" ref="Z216:Z218" si="136">IF(T216=0,0,X216/T216)</f>
        <v>-0.10091079978719632</v>
      </c>
    </row>
    <row r="217" spans="1:26" s="24" customFormat="1" hidden="1" outlineLevel="2" x14ac:dyDescent="0.25">
      <c r="A217" s="26"/>
      <c r="B217" s="11" t="str">
        <f>CONCATENATE("          ", "6303", " - ", "DATA PHONE LINES")</f>
        <v xml:space="preserve">          6303 - DATA PHONE LINES</v>
      </c>
      <c r="C217" s="11"/>
      <c r="D217" s="7">
        <v>590</v>
      </c>
      <c r="E217" s="2"/>
      <c r="F217" s="6">
        <f t="shared" si="129"/>
        <v>1.3454404425851418E-3</v>
      </c>
      <c r="G217" s="2"/>
      <c r="H217" s="7">
        <v>865</v>
      </c>
      <c r="I217" s="2"/>
      <c r="J217" s="6">
        <f t="shared" si="130"/>
        <v>1.5296928412143463E-3</v>
      </c>
      <c r="K217" s="2"/>
      <c r="L217" s="7">
        <f t="shared" si="131"/>
        <v>-275</v>
      </c>
      <c r="M217" s="2"/>
      <c r="N217" s="6">
        <f t="shared" si="132"/>
        <v>-0.31791907514450868</v>
      </c>
      <c r="O217" s="11"/>
      <c r="P217" s="7">
        <v>3540</v>
      </c>
      <c r="Q217" s="2"/>
      <c r="R217" s="6">
        <f t="shared" si="133"/>
        <v>7.5230915237595576E-4</v>
      </c>
      <c r="S217" s="2"/>
      <c r="T217" s="7">
        <v>8645</v>
      </c>
      <c r="U217" s="2"/>
      <c r="V217" s="6">
        <f t="shared" si="134"/>
        <v>9.885400252938176E-4</v>
      </c>
      <c r="W217" s="2"/>
      <c r="X217" s="7">
        <f t="shared" si="135"/>
        <v>-5105</v>
      </c>
      <c r="Y217" s="2"/>
      <c r="Z217" s="6">
        <f t="shared" si="136"/>
        <v>-0.59051474840948526</v>
      </c>
    </row>
    <row r="218" spans="1:26" s="24" customFormat="1" hidden="1" outlineLevel="2" x14ac:dyDescent="0.25">
      <c r="A218" s="26"/>
      <c r="B218" s="11" t="str">
        <f>CONCATENATE("          ", "6309", " - ", "TELEPHONE")</f>
        <v xml:space="preserve">          6309 - TELEPHONE</v>
      </c>
      <c r="C218" s="11"/>
      <c r="D218" s="7">
        <v>1698.26</v>
      </c>
      <c r="E218" s="2"/>
      <c r="F218" s="6">
        <f t="shared" si="129"/>
        <v>3.8727248915671913E-3</v>
      </c>
      <c r="G218" s="2"/>
      <c r="H218" s="7">
        <v>1815</v>
      </c>
      <c r="I218" s="2"/>
      <c r="J218" s="6">
        <f t="shared" si="130"/>
        <v>3.2097023200046686E-3</v>
      </c>
      <c r="K218" s="2"/>
      <c r="L218" s="7">
        <f t="shared" si="131"/>
        <v>-116.74000000000001</v>
      </c>
      <c r="M218" s="2"/>
      <c r="N218" s="6">
        <f t="shared" si="132"/>
        <v>-6.4319559228650139E-2</v>
      </c>
      <c r="O218" s="11"/>
      <c r="P218" s="7">
        <v>21809.82</v>
      </c>
      <c r="Q218" s="2"/>
      <c r="R218" s="6">
        <f t="shared" si="133"/>
        <v>4.6349511857830981E-3</v>
      </c>
      <c r="S218" s="2"/>
      <c r="T218" s="7">
        <v>19550</v>
      </c>
      <c r="U218" s="2"/>
      <c r="V218" s="6">
        <f t="shared" si="134"/>
        <v>2.2355069397911086E-3</v>
      </c>
      <c r="W218" s="2"/>
      <c r="X218" s="7">
        <f t="shared" si="135"/>
        <v>2259.8199999999997</v>
      </c>
      <c r="Y218" s="2"/>
      <c r="Z218" s="6">
        <f t="shared" si="136"/>
        <v>0.11559181585677748</v>
      </c>
    </row>
    <row r="219" spans="1:26" s="25" customFormat="1" outlineLevel="1" collapsed="1" x14ac:dyDescent="0.25">
      <c r="A219" s="27"/>
      <c r="B219" s="13" t="str">
        <f>CONCATENATE("     ","Training                                          ")</f>
        <v xml:space="preserve">     Training                                          </v>
      </c>
      <c r="C219" s="13"/>
      <c r="D219" s="1">
        <f>SUM(OSRRefD22_23x_0)</f>
        <v>0</v>
      </c>
      <c r="E219" s="1"/>
      <c r="F219" s="5">
        <f t="shared" ref="F219:F224" si="137">IF(D$12=0,0,D219/D$12)</f>
        <v>0</v>
      </c>
      <c r="G219" s="1"/>
      <c r="H219" s="1">
        <f>SUM(OSRRefH22_23x_0)</f>
        <v>0</v>
      </c>
      <c r="I219" s="1"/>
      <c r="J219" s="5">
        <f t="shared" ref="J219:J224" si="138">IF(H$12=0,0,H219/H$12)</f>
        <v>0</v>
      </c>
      <c r="K219" s="1"/>
      <c r="L219" s="1">
        <f t="shared" ref="L219:L224" si="139">+D219-H219</f>
        <v>0</v>
      </c>
      <c r="M219" s="1"/>
      <c r="N219" s="5">
        <f t="shared" ref="N219:N224" si="140">IF(H219=0,0,L219/H219)</f>
        <v>0</v>
      </c>
      <c r="O219" s="13"/>
      <c r="P219" s="1">
        <f>SUM(OSRRefP22_23x_0)</f>
        <v>895.63</v>
      </c>
      <c r="Q219" s="1"/>
      <c r="R219" s="5">
        <f t="shared" ref="R219:R224" si="141">IF(P$12=0,0,P219/P$12)</f>
        <v>1.9033634071821391E-4</v>
      </c>
      <c r="S219" s="1"/>
      <c r="T219" s="1">
        <f>SUM(OSRRefT22_23x_0)</f>
        <v>12210</v>
      </c>
      <c r="U219" s="1"/>
      <c r="V219" s="5">
        <f t="shared" ref="V219:V224" si="142">IF(T$12=0,0,T219/T$12)</f>
        <v>1.3961912907851375E-3</v>
      </c>
      <c r="W219" s="1"/>
      <c r="X219" s="1">
        <f t="shared" ref="X219:X224" si="143">+P219-T219</f>
        <v>-11314.37</v>
      </c>
      <c r="Y219" s="1"/>
      <c r="Z219" s="5">
        <f t="shared" ref="Z219:Z224" si="144">IF(T219=0,0,X219/T219)</f>
        <v>-0.92664782964782977</v>
      </c>
    </row>
    <row r="220" spans="1:26" s="24" customFormat="1" hidden="1" outlineLevel="2" x14ac:dyDescent="0.25">
      <c r="A220" s="26"/>
      <c r="B220" s="11" t="str">
        <f>CONCATENATE("          ", "6376", " - ", "TRAINING")</f>
        <v xml:space="preserve">          6376 - TRAINING</v>
      </c>
      <c r="C220" s="11"/>
      <c r="D220" s="7"/>
      <c r="E220" s="2"/>
      <c r="F220" s="6">
        <f t="shared" si="137"/>
        <v>0</v>
      </c>
      <c r="G220" s="2"/>
      <c r="H220" s="7">
        <v>0</v>
      </c>
      <c r="I220" s="2"/>
      <c r="J220" s="6">
        <f t="shared" si="138"/>
        <v>0</v>
      </c>
      <c r="K220" s="2"/>
      <c r="L220" s="7">
        <f t="shared" si="139"/>
        <v>0</v>
      </c>
      <c r="M220" s="2"/>
      <c r="N220" s="6">
        <f t="shared" si="140"/>
        <v>0</v>
      </c>
      <c r="O220" s="11"/>
      <c r="P220" s="7">
        <v>895.63</v>
      </c>
      <c r="Q220" s="2"/>
      <c r="R220" s="6">
        <f t="shared" si="141"/>
        <v>1.9033634071821391E-4</v>
      </c>
      <c r="S220" s="2"/>
      <c r="T220" s="7">
        <v>12210</v>
      </c>
      <c r="U220" s="2"/>
      <c r="V220" s="6">
        <f t="shared" si="142"/>
        <v>1.3961912907851375E-3</v>
      </c>
      <c r="W220" s="2"/>
      <c r="X220" s="7">
        <f t="shared" si="143"/>
        <v>-11314.37</v>
      </c>
      <c r="Y220" s="2"/>
      <c r="Z220" s="6">
        <f t="shared" si="144"/>
        <v>-0.92664782964782977</v>
      </c>
    </row>
    <row r="221" spans="1:26" s="25" customFormat="1" outlineLevel="1" collapsed="1" x14ac:dyDescent="0.25">
      <c r="A221" s="27"/>
      <c r="B221" s="13" t="str">
        <f>CONCATENATE("     ","Travel                                            ")</f>
        <v xml:space="preserve">     Travel                                            </v>
      </c>
      <c r="C221" s="13"/>
      <c r="D221" s="1">
        <f>SUM(OSRRefD22_24x_0)</f>
        <v>69.069999999999993</v>
      </c>
      <c r="E221" s="1"/>
      <c r="F221" s="5">
        <f t="shared" si="137"/>
        <v>1.5750774808365379E-4</v>
      </c>
      <c r="G221" s="1"/>
      <c r="H221" s="1">
        <f>SUM(OSRRefH22_24x_0)</f>
        <v>50</v>
      </c>
      <c r="I221" s="1"/>
      <c r="J221" s="5">
        <f t="shared" si="138"/>
        <v>8.8421551515280127E-5</v>
      </c>
      <c r="K221" s="1"/>
      <c r="L221" s="1">
        <f t="shared" si="139"/>
        <v>19.069999999999993</v>
      </c>
      <c r="M221" s="1"/>
      <c r="N221" s="5">
        <f t="shared" si="140"/>
        <v>0.38139999999999985</v>
      </c>
      <c r="O221" s="13"/>
      <c r="P221" s="1">
        <f>SUM(OSRRefP22_24x_0)</f>
        <v>972.4</v>
      </c>
      <c r="Q221" s="1"/>
      <c r="R221" s="5">
        <f t="shared" si="141"/>
        <v>2.0665124852270602E-4</v>
      </c>
      <c r="S221" s="1"/>
      <c r="T221" s="1">
        <f>SUM(OSRRefT22_24x_0)</f>
        <v>2200</v>
      </c>
      <c r="U221" s="1"/>
      <c r="V221" s="5">
        <f t="shared" si="142"/>
        <v>2.5156599833966439E-4</v>
      </c>
      <c r="W221" s="1"/>
      <c r="X221" s="1">
        <f t="shared" si="143"/>
        <v>-1227.5999999999999</v>
      </c>
      <c r="Y221" s="1"/>
      <c r="Z221" s="5">
        <f t="shared" si="144"/>
        <v>-0.55799999999999994</v>
      </c>
    </row>
    <row r="222" spans="1:26" s="24" customFormat="1" hidden="1" outlineLevel="2" x14ac:dyDescent="0.25">
      <c r="A222" s="26"/>
      <c r="B222" s="11" t="str">
        <f>CONCATENATE("          ", "6292", " - ", "TRAVEL/CONFERENCE")</f>
        <v xml:space="preserve">          6292 - TRAVEL/CONFERENCE</v>
      </c>
      <c r="C222" s="11"/>
      <c r="D222" s="7"/>
      <c r="E222" s="2"/>
      <c r="F222" s="6">
        <f t="shared" si="137"/>
        <v>0</v>
      </c>
      <c r="G222" s="2"/>
      <c r="H222" s="7"/>
      <c r="I222" s="2"/>
      <c r="J222" s="6">
        <f t="shared" si="138"/>
        <v>0</v>
      </c>
      <c r="K222" s="2"/>
      <c r="L222" s="7">
        <f t="shared" si="139"/>
        <v>0</v>
      </c>
      <c r="M222" s="2"/>
      <c r="N222" s="6">
        <f t="shared" si="140"/>
        <v>0</v>
      </c>
      <c r="O222" s="11"/>
      <c r="P222" s="7">
        <v>299.16000000000003</v>
      </c>
      <c r="Q222" s="2"/>
      <c r="R222" s="6">
        <f t="shared" si="141"/>
        <v>6.3576498877059592E-5</v>
      </c>
      <c r="S222" s="2"/>
      <c r="T222" s="7">
        <v>1500</v>
      </c>
      <c r="U222" s="2"/>
      <c r="V222" s="6">
        <f t="shared" si="142"/>
        <v>1.7152227159522574E-4</v>
      </c>
      <c r="W222" s="2"/>
      <c r="X222" s="7">
        <f t="shared" si="143"/>
        <v>-1200.8399999999999</v>
      </c>
      <c r="Y222" s="2"/>
      <c r="Z222" s="6">
        <f t="shared" si="144"/>
        <v>-0.80055999999999994</v>
      </c>
    </row>
    <row r="223" spans="1:26" s="24" customFormat="1" hidden="1" outlineLevel="2" x14ac:dyDescent="0.25">
      <c r="A223" s="26"/>
      <c r="B223" s="11" t="str">
        <f>CONCATENATE("          ", "6294", " - ", "TRAVEL OPERATIONAL")</f>
        <v xml:space="preserve">          6294 - TRAVEL OPERATIONAL</v>
      </c>
      <c r="C223" s="11"/>
      <c r="D223" s="7">
        <v>69.069999999999993</v>
      </c>
      <c r="E223" s="2"/>
      <c r="F223" s="6">
        <f t="shared" si="137"/>
        <v>1.5750774808365379E-4</v>
      </c>
      <c r="G223" s="2"/>
      <c r="H223" s="7">
        <v>25</v>
      </c>
      <c r="I223" s="2"/>
      <c r="J223" s="6">
        <f t="shared" si="138"/>
        <v>4.4210775757640063E-5</v>
      </c>
      <c r="K223" s="2"/>
      <c r="L223" s="7">
        <f t="shared" si="139"/>
        <v>44.069999999999993</v>
      </c>
      <c r="M223" s="2"/>
      <c r="N223" s="6">
        <f t="shared" si="140"/>
        <v>1.7627999999999997</v>
      </c>
      <c r="O223" s="11"/>
      <c r="P223" s="7">
        <v>613.35</v>
      </c>
      <c r="Q223" s="2"/>
      <c r="R223" s="6">
        <f t="shared" si="141"/>
        <v>1.3034712390107132E-4</v>
      </c>
      <c r="S223" s="2"/>
      <c r="T223" s="7">
        <v>250</v>
      </c>
      <c r="U223" s="2"/>
      <c r="V223" s="6">
        <f t="shared" si="142"/>
        <v>2.8587045265870956E-5</v>
      </c>
      <c r="W223" s="2"/>
      <c r="X223" s="7">
        <f t="shared" si="143"/>
        <v>363.35</v>
      </c>
      <c r="Y223" s="2"/>
      <c r="Z223" s="6">
        <f t="shared" si="144"/>
        <v>1.4534</v>
      </c>
    </row>
    <row r="224" spans="1:26" s="24" customFormat="1" hidden="1" outlineLevel="2" x14ac:dyDescent="0.25">
      <c r="A224" s="26"/>
      <c r="B224" s="11" t="str">
        <f>CONCATENATE("          ", "6298", " - ", "VEHICLE MILEAGE")</f>
        <v xml:space="preserve">          6298 - VEHICLE MILEAGE</v>
      </c>
      <c r="C224" s="11"/>
      <c r="D224" s="7"/>
      <c r="E224" s="2"/>
      <c r="F224" s="6">
        <f t="shared" si="137"/>
        <v>0</v>
      </c>
      <c r="G224" s="2"/>
      <c r="H224" s="7">
        <v>25</v>
      </c>
      <c r="I224" s="2"/>
      <c r="J224" s="6">
        <f t="shared" si="138"/>
        <v>4.4210775757640063E-5</v>
      </c>
      <c r="K224" s="2"/>
      <c r="L224" s="7">
        <f t="shared" si="139"/>
        <v>-25</v>
      </c>
      <c r="M224" s="2"/>
      <c r="N224" s="6">
        <f t="shared" si="140"/>
        <v>-1</v>
      </c>
      <c r="O224" s="11"/>
      <c r="P224" s="7">
        <v>59.89</v>
      </c>
      <c r="Q224" s="2"/>
      <c r="R224" s="6">
        <f t="shared" si="141"/>
        <v>1.2727625744575139E-5</v>
      </c>
      <c r="S224" s="2"/>
      <c r="T224" s="7">
        <v>450</v>
      </c>
      <c r="U224" s="2"/>
      <c r="V224" s="6">
        <f t="shared" si="142"/>
        <v>5.1456681478567719E-5</v>
      </c>
      <c r="W224" s="2"/>
      <c r="X224" s="7">
        <f t="shared" si="143"/>
        <v>-390.11</v>
      </c>
      <c r="Y224" s="2"/>
      <c r="Z224" s="6">
        <f t="shared" si="144"/>
        <v>-0.86691111111111119</v>
      </c>
    </row>
    <row r="225" spans="1:26" s="25" customFormat="1" outlineLevel="1" collapsed="1" x14ac:dyDescent="0.25">
      <c r="A225" s="27"/>
      <c r="B225" s="13" t="str">
        <f>CONCATENATE("     ","Utilities                                         ")</f>
        <v xml:space="preserve">     Utilities                                         </v>
      </c>
      <c r="C225" s="13"/>
      <c r="D225" s="1">
        <f>SUM(OSRRefD22_25x_0)</f>
        <v>7297.93</v>
      </c>
      <c r="E225" s="1"/>
      <c r="F225" s="5">
        <f t="shared" ref="F225:F226" si="145">IF(D$12=0,0,D225/D$12)</f>
        <v>1.6642254523992175E-2</v>
      </c>
      <c r="G225" s="1"/>
      <c r="H225" s="1">
        <f>SUM(OSRRefH22_25x_0)</f>
        <v>6955</v>
      </c>
      <c r="I225" s="1"/>
      <c r="J225" s="5">
        <f t="shared" ref="J225:J226" si="146">IF(H$12=0,0,H225/H$12)</f>
        <v>1.2299437815775466E-2</v>
      </c>
      <c r="K225" s="1"/>
      <c r="L225" s="1">
        <f t="shared" ref="L225:L226" si="147">+D225-H225</f>
        <v>342.93000000000029</v>
      </c>
      <c r="M225" s="1"/>
      <c r="N225" s="5">
        <f t="shared" ref="N225:N226" si="148">IF(H225=0,0,L225/H225)</f>
        <v>4.9306973400431386E-2</v>
      </c>
      <c r="O225" s="13"/>
      <c r="P225" s="1">
        <f>SUM(OSRRefP22_25x_0)</f>
        <v>64463.55</v>
      </c>
      <c r="Q225" s="1"/>
      <c r="R225" s="5">
        <f t="shared" ref="R225:R226" si="149">IF(P$12=0,0,P225/P$12)</f>
        <v>1.3699581542272611E-2</v>
      </c>
      <c r="S225" s="1"/>
      <c r="T225" s="1">
        <f>SUM(OSRRefT22_25x_0)</f>
        <v>72824</v>
      </c>
      <c r="U225" s="1"/>
      <c r="V225" s="5">
        <f t="shared" ref="V225:V226" si="150">IF(T$12=0,0,T225/T$12)</f>
        <v>8.3272919377671457E-3</v>
      </c>
      <c r="W225" s="1"/>
      <c r="X225" s="1">
        <f t="shared" ref="X225:X226" si="151">+P225-T225</f>
        <v>-8360.4499999999971</v>
      </c>
      <c r="Y225" s="1"/>
      <c r="Z225" s="5">
        <f t="shared" ref="Z225:Z226" si="152">IF(T225=0,0,X225/T225)</f>
        <v>-0.11480349884653407</v>
      </c>
    </row>
    <row r="226" spans="1:26" s="24" customFormat="1" hidden="1" outlineLevel="2" x14ac:dyDescent="0.25">
      <c r="A226" s="26"/>
      <c r="B226" s="11" t="str">
        <f>CONCATENATE("          ", "6274", " - ", "UTILITIES")</f>
        <v xml:space="preserve">          6274 - UTILITIES</v>
      </c>
      <c r="C226" s="11"/>
      <c r="D226" s="7">
        <v>7297.93</v>
      </c>
      <c r="E226" s="2"/>
      <c r="F226" s="6">
        <f t="shared" si="145"/>
        <v>1.6642254523992175E-2</v>
      </c>
      <c r="G226" s="2"/>
      <c r="H226" s="7">
        <v>6955</v>
      </c>
      <c r="I226" s="2"/>
      <c r="J226" s="6">
        <f t="shared" si="146"/>
        <v>1.2299437815775466E-2</v>
      </c>
      <c r="K226" s="2"/>
      <c r="L226" s="7">
        <f t="shared" si="147"/>
        <v>342.93000000000029</v>
      </c>
      <c r="M226" s="2"/>
      <c r="N226" s="6">
        <f t="shared" si="148"/>
        <v>4.9306973400431386E-2</v>
      </c>
      <c r="O226" s="11"/>
      <c r="P226" s="7">
        <v>64463.55</v>
      </c>
      <c r="Q226" s="2"/>
      <c r="R226" s="6">
        <f t="shared" si="149"/>
        <v>1.3699581542272611E-2</v>
      </c>
      <c r="S226" s="2"/>
      <c r="T226" s="7">
        <v>72824</v>
      </c>
      <c r="U226" s="2"/>
      <c r="V226" s="6">
        <f t="shared" si="150"/>
        <v>8.3272919377671457E-3</v>
      </c>
      <c r="W226" s="2"/>
      <c r="X226" s="7">
        <f t="shared" si="151"/>
        <v>-8360.4499999999971</v>
      </c>
      <c r="Y226" s="2"/>
      <c r="Z226" s="6">
        <f t="shared" si="152"/>
        <v>-0.11480349884653407</v>
      </c>
    </row>
    <row r="227" spans="1:26" s="61" customFormat="1" x14ac:dyDescent="0.25">
      <c r="A227" s="36"/>
      <c r="B227" s="36"/>
      <c r="C227" s="36"/>
      <c r="D227" s="1"/>
      <c r="E227" s="1"/>
      <c r="F227" s="5"/>
      <c r="G227" s="1"/>
      <c r="H227" s="1"/>
      <c r="I227" s="1"/>
      <c r="J227" s="5"/>
      <c r="K227" s="1"/>
      <c r="L227" s="1"/>
      <c r="M227" s="1"/>
      <c r="N227" s="5"/>
      <c r="O227" s="36"/>
      <c r="P227" s="1"/>
      <c r="Q227" s="1"/>
      <c r="R227" s="5"/>
      <c r="S227" s="1"/>
      <c r="T227" s="1"/>
      <c r="U227" s="1"/>
      <c r="V227" s="5"/>
      <c r="W227" s="1"/>
      <c r="X227" s="1"/>
      <c r="Y227" s="1"/>
      <c r="Z227" s="5"/>
    </row>
    <row r="228" spans="1:26" s="23" customFormat="1" collapsed="1" x14ac:dyDescent="0.25">
      <c r="A228" s="10"/>
      <c r="B228" s="29" t="s">
        <v>293</v>
      </c>
      <c r="C228" s="10"/>
      <c r="D228" s="4">
        <f>SUM(OSRRefD25x_0)</f>
        <v>30690.94</v>
      </c>
      <c r="E228" s="4"/>
      <c r="F228" s="12">
        <f t="shared" ref="F228:F233" si="153">IF(D$12=0,0,D228/D$12)</f>
        <v>6.9987850672803442E-2</v>
      </c>
      <c r="G228" s="4"/>
      <c r="H228" s="4">
        <f>SUM(OSRRefH25x_0)</f>
        <v>34025</v>
      </c>
      <c r="I228" s="4"/>
      <c r="J228" s="12">
        <f t="shared" ref="J228:J233" si="154">IF(H$12=0,0,H228/H$12)</f>
        <v>6.0170865806148124E-2</v>
      </c>
      <c r="K228" s="4"/>
      <c r="L228" s="4">
        <f t="shared" ref="L228:L233" si="155">+D228-H228</f>
        <v>-3334.0600000000013</v>
      </c>
      <c r="M228" s="4"/>
      <c r="N228" s="12">
        <f t="shared" ref="N228:N233" si="156">IF(H228=0,0,L228/H228)</f>
        <v>-9.7988537839823697E-2</v>
      </c>
      <c r="O228" s="10"/>
      <c r="P228" s="4">
        <f>SUM(OSRRefP25x_0)</f>
        <v>992993.17000000016</v>
      </c>
      <c r="Q228" s="4"/>
      <c r="R228" s="12">
        <f t="shared" ref="R228:R233" si="157">IF(P$12=0,0,P228/P$12)</f>
        <v>0.21102764125361961</v>
      </c>
      <c r="S228" s="4"/>
      <c r="T228" s="4">
        <f>SUM(OSRRefT25x_0)</f>
        <v>870770</v>
      </c>
      <c r="U228" s="4"/>
      <c r="V228" s="12">
        <f t="shared" ref="V228:V233" si="158">IF(T$12=0,0,T228/T$12)</f>
        <v>9.9570965624649815E-2</v>
      </c>
      <c r="W228" s="4"/>
      <c r="X228" s="4">
        <f t="shared" ref="X228:X233" si="159">+P228-T228</f>
        <v>122223.17000000016</v>
      </c>
      <c r="Y228" s="4"/>
      <c r="Z228" s="12">
        <f t="shared" ref="Z228:Z233" si="160">IF(T228=0,0,X228/T228)</f>
        <v>0.14036217370832729</v>
      </c>
    </row>
    <row r="229" spans="1:26" s="24" customFormat="1" hidden="1" outlineLevel="1" x14ac:dyDescent="0.25">
      <c r="A229" s="44"/>
      <c r="B229" s="11" t="str">
        <f>CONCATENATE("          ", "4098", " - ", "TAXABLE SALES-GRAD RENTALS")</f>
        <v xml:space="preserve">          4098 - TAXABLE SALES-GRAD RENTALS</v>
      </c>
      <c r="C229" s="11"/>
      <c r="D229" s="2">
        <f>--49.95</f>
        <v>49.95</v>
      </c>
      <c r="E229" s="2"/>
      <c r="F229" s="19">
        <f t="shared" si="153"/>
        <v>1.1390635611377599E-4</v>
      </c>
      <c r="G229" s="2"/>
      <c r="H229" s="2"/>
      <c r="I229" s="2"/>
      <c r="J229" s="19">
        <f t="shared" si="154"/>
        <v>0</v>
      </c>
      <c r="K229" s="2"/>
      <c r="L229" s="2">
        <f t="shared" si="155"/>
        <v>49.95</v>
      </c>
      <c r="M229" s="2"/>
      <c r="N229" s="19">
        <f t="shared" si="156"/>
        <v>0</v>
      </c>
      <c r="O229" s="11"/>
      <c r="P229" s="2">
        <f>--49.95</f>
        <v>49.95</v>
      </c>
      <c r="Q229" s="2"/>
      <c r="R229" s="19">
        <f t="shared" si="157"/>
        <v>1.0615209650050562E-5</v>
      </c>
      <c r="S229" s="2"/>
      <c r="T229" s="2"/>
      <c r="U229" s="2"/>
      <c r="V229" s="19">
        <f t="shared" si="158"/>
        <v>0</v>
      </c>
      <c r="W229" s="2"/>
      <c r="X229" s="2">
        <f t="shared" si="159"/>
        <v>49.95</v>
      </c>
      <c r="Y229" s="2"/>
      <c r="Z229" s="19">
        <f t="shared" si="160"/>
        <v>0</v>
      </c>
    </row>
    <row r="230" spans="1:26" s="24" customFormat="1" hidden="1" outlineLevel="1" x14ac:dyDescent="0.25">
      <c r="A230" s="44"/>
      <c r="B230" s="11" t="str">
        <f>CONCATENATE("          ", "9150", " - ", "MISC. INCOME")</f>
        <v xml:space="preserve">          9150 - MISC. INCOME</v>
      </c>
      <c r="C230" s="11"/>
      <c r="D230" s="2">
        <f>--30090.95</f>
        <v>30090.95</v>
      </c>
      <c r="E230" s="2"/>
      <c r="F230" s="19">
        <f t="shared" si="153"/>
        <v>6.8619628958995538E-2</v>
      </c>
      <c r="G230" s="2"/>
      <c r="H230" s="2">
        <v>18550</v>
      </c>
      <c r="I230" s="2"/>
      <c r="J230" s="19">
        <f t="shared" si="154"/>
        <v>3.2804395612168927E-2</v>
      </c>
      <c r="K230" s="2"/>
      <c r="L230" s="2">
        <f t="shared" si="155"/>
        <v>11540.95</v>
      </c>
      <c r="M230" s="2"/>
      <c r="N230" s="19">
        <f t="shared" si="156"/>
        <v>0.6221536388140162</v>
      </c>
      <c r="O230" s="11"/>
      <c r="P230" s="2">
        <f>--346619.7</f>
        <v>346619.7</v>
      </c>
      <c r="Q230" s="2"/>
      <c r="R230" s="19">
        <f t="shared" si="157"/>
        <v>7.3662478164917541E-2</v>
      </c>
      <c r="S230" s="2"/>
      <c r="T230" s="2">
        <v>199800</v>
      </c>
      <c r="U230" s="2"/>
      <c r="V230" s="19">
        <f t="shared" si="158"/>
        <v>2.2846766576484066E-2</v>
      </c>
      <c r="W230" s="2"/>
      <c r="X230" s="2">
        <f t="shared" si="159"/>
        <v>146819.70000000001</v>
      </c>
      <c r="Y230" s="2"/>
      <c r="Z230" s="19">
        <f t="shared" si="160"/>
        <v>0.73483333333333334</v>
      </c>
    </row>
    <row r="231" spans="1:26" s="24" customFormat="1" hidden="1" outlineLevel="1" x14ac:dyDescent="0.25">
      <c r="A231" s="44"/>
      <c r="B231" s="11" t="str">
        <f>CONCATENATE("          ", "9151", " - ", "MISC. INCOME")</f>
        <v xml:space="preserve">          9151 - MISC. INCOME</v>
      </c>
      <c r="C231" s="11"/>
      <c r="D231" s="2">
        <f>0</f>
        <v>0</v>
      </c>
      <c r="E231" s="2"/>
      <c r="F231" s="19">
        <f t="shared" si="153"/>
        <v>0</v>
      </c>
      <c r="G231" s="2"/>
      <c r="H231" s="2">
        <v>15475</v>
      </c>
      <c r="I231" s="2"/>
      <c r="J231" s="19">
        <f t="shared" si="154"/>
        <v>2.7366470193979201E-2</v>
      </c>
      <c r="K231" s="2"/>
      <c r="L231" s="2">
        <f t="shared" si="155"/>
        <v>-15475</v>
      </c>
      <c r="M231" s="2"/>
      <c r="N231" s="19">
        <f t="shared" si="156"/>
        <v>-1</v>
      </c>
      <c r="O231" s="11"/>
      <c r="P231" s="2">
        <f>--295628.46</f>
        <v>295628.46000000002</v>
      </c>
      <c r="Q231" s="2"/>
      <c r="R231" s="19">
        <f t="shared" si="157"/>
        <v>6.2825987616047782E-2</v>
      </c>
      <c r="S231" s="2"/>
      <c r="T231" s="2">
        <v>670970</v>
      </c>
      <c r="U231" s="2"/>
      <c r="V231" s="19">
        <f t="shared" si="158"/>
        <v>7.6724199048165742E-2</v>
      </c>
      <c r="W231" s="2"/>
      <c r="X231" s="2">
        <f t="shared" si="159"/>
        <v>-375341.54</v>
      </c>
      <c r="Y231" s="2"/>
      <c r="Z231" s="19">
        <f t="shared" si="160"/>
        <v>-0.55940137412999091</v>
      </c>
    </row>
    <row r="232" spans="1:26" s="24" customFormat="1" hidden="1" outlineLevel="1" x14ac:dyDescent="0.25">
      <c r="A232" s="44"/>
      <c r="B232" s="11" t="str">
        <f>CONCATENATE("          ", "9152", " - ", "MISC. INCOME")</f>
        <v xml:space="preserve">          9152 - MISC. INCOME</v>
      </c>
      <c r="C232" s="11"/>
      <c r="D232" s="2">
        <f>--505.94</f>
        <v>505.94</v>
      </c>
      <c r="E232" s="2"/>
      <c r="F232" s="19">
        <f t="shared" si="153"/>
        <v>1.153749385629706E-3</v>
      </c>
      <c r="G232" s="2"/>
      <c r="H232" s="2"/>
      <c r="I232" s="2"/>
      <c r="J232" s="19">
        <f t="shared" si="154"/>
        <v>0</v>
      </c>
      <c r="K232" s="2"/>
      <c r="L232" s="2">
        <f t="shared" si="155"/>
        <v>505.94</v>
      </c>
      <c r="M232" s="2"/>
      <c r="N232" s="19">
        <f t="shared" si="156"/>
        <v>0</v>
      </c>
      <c r="O232" s="11"/>
      <c r="P232" s="2">
        <f>--4216.5</f>
        <v>4216.5</v>
      </c>
      <c r="Q232" s="2"/>
      <c r="R232" s="19">
        <f t="shared" si="157"/>
        <v>8.960767064952592E-4</v>
      </c>
      <c r="S232" s="2"/>
      <c r="T232" s="2"/>
      <c r="U232" s="2"/>
      <c r="V232" s="19">
        <f t="shared" si="158"/>
        <v>0</v>
      </c>
      <c r="W232" s="2"/>
      <c r="X232" s="2">
        <f t="shared" si="159"/>
        <v>4216.5</v>
      </c>
      <c r="Y232" s="2"/>
      <c r="Z232" s="19">
        <f t="shared" si="160"/>
        <v>0</v>
      </c>
    </row>
    <row r="233" spans="1:26" s="24" customFormat="1" hidden="1" outlineLevel="1" x14ac:dyDescent="0.25">
      <c r="A233" s="44"/>
      <c r="B233" s="11" t="str">
        <f>CONCATENATE("          ", "9163", " - ", "MISC. INCOME")</f>
        <v xml:space="preserve">          9163 - MISC. INCOME</v>
      </c>
      <c r="C233" s="11"/>
      <c r="D233" s="2">
        <f>--44.1</f>
        <v>44.1</v>
      </c>
      <c r="E233" s="2"/>
      <c r="F233" s="19">
        <f t="shared" si="153"/>
        <v>1.0056597206441484E-4</v>
      </c>
      <c r="G233" s="2"/>
      <c r="H233" s="2"/>
      <c r="I233" s="2"/>
      <c r="J233" s="19">
        <f t="shared" si="154"/>
        <v>0</v>
      </c>
      <c r="K233" s="2"/>
      <c r="L233" s="2">
        <f t="shared" si="155"/>
        <v>44.1</v>
      </c>
      <c r="M233" s="2"/>
      <c r="N233" s="19">
        <f t="shared" si="156"/>
        <v>0</v>
      </c>
      <c r="O233" s="11"/>
      <c r="P233" s="2">
        <f>--346478.56</f>
        <v>346478.56</v>
      </c>
      <c r="Q233" s="2"/>
      <c r="R233" s="19">
        <f t="shared" si="157"/>
        <v>7.3632483556508962E-2</v>
      </c>
      <c r="S233" s="2"/>
      <c r="T233" s="2"/>
      <c r="U233" s="2"/>
      <c r="V233" s="19">
        <f t="shared" si="158"/>
        <v>0</v>
      </c>
      <c r="W233" s="2"/>
      <c r="X233" s="2">
        <f t="shared" si="159"/>
        <v>346478.56</v>
      </c>
      <c r="Y233" s="2"/>
      <c r="Z233" s="19">
        <f t="shared" si="160"/>
        <v>0</v>
      </c>
    </row>
    <row r="234" spans="1:26" x14ac:dyDescent="0.25">
      <c r="A234" s="9"/>
      <c r="B234" s="10"/>
      <c r="C234" s="10"/>
      <c r="D234" s="3"/>
      <c r="E234" s="3"/>
      <c r="F234" s="8"/>
      <c r="G234" s="3"/>
      <c r="H234" s="3"/>
      <c r="I234" s="3"/>
      <c r="J234" s="8"/>
      <c r="K234" s="3"/>
      <c r="L234" s="3"/>
      <c r="M234" s="3"/>
      <c r="N234" s="8"/>
      <c r="O234" s="10"/>
      <c r="P234" s="3"/>
      <c r="Q234" s="3"/>
      <c r="R234" s="8"/>
      <c r="S234" s="3"/>
      <c r="T234" s="3"/>
      <c r="U234" s="3"/>
      <c r="V234" s="8"/>
      <c r="W234" s="3"/>
      <c r="X234" s="3"/>
      <c r="Y234" s="3"/>
      <c r="Z234" s="8"/>
    </row>
    <row r="235" spans="1:26" s="23" customFormat="1" x14ac:dyDescent="0.25">
      <c r="A235" s="10"/>
      <c r="B235" s="28" t="s">
        <v>277</v>
      </c>
      <c r="C235" s="28"/>
      <c r="D235" s="21">
        <f>+D124-D126+D228</f>
        <v>-25324.229999999839</v>
      </c>
      <c r="E235" s="14"/>
      <c r="F235" s="20">
        <f>IF(D$12=0,0,D235/D$12)</f>
        <v>-5.7749564778521535E-2</v>
      </c>
      <c r="G235" s="14"/>
      <c r="H235" s="21">
        <f>+H124-H126+H228</f>
        <v>-103428.98105547321</v>
      </c>
      <c r="I235" s="14"/>
      <c r="J235" s="20">
        <f>IF(H$12=0,0,H235/H$12)</f>
        <v>-0.18290701953138913</v>
      </c>
      <c r="K235" s="16"/>
      <c r="L235" s="21">
        <f>+D235-H235</f>
        <v>78104.751055473374</v>
      </c>
      <c r="M235" s="16"/>
      <c r="N235" s="20">
        <f>IF(H235=0,0,L235/H235)</f>
        <v>-0.75515344208585589</v>
      </c>
      <c r="O235" s="29"/>
      <c r="P235" s="21">
        <f>+P124-P126+P228</f>
        <v>-145508.8300000017</v>
      </c>
      <c r="Q235" s="14"/>
      <c r="R235" s="20">
        <f>IF(P$12=0,0,P235/P$12)</f>
        <v>-3.0923057785457155E-2</v>
      </c>
      <c r="S235" s="14"/>
      <c r="T235" s="21">
        <f>+T124-T126+T228</f>
        <v>265747.69284834713</v>
      </c>
      <c r="U235" s="14"/>
      <c r="V235" s="20">
        <f>IF(T$12=0,0,T235/T$12)</f>
        <v>3.0387765299025881E-2</v>
      </c>
      <c r="W235" s="16"/>
      <c r="X235" s="21">
        <f>+P235-T235</f>
        <v>-411256.52284834883</v>
      </c>
      <c r="Y235" s="16"/>
      <c r="Z235" s="20">
        <f>IF(T235=0,0,X235/T235)</f>
        <v>-1.5475450358210203</v>
      </c>
    </row>
    <row r="236" spans="1:26" x14ac:dyDescent="0.25">
      <c r="A236" s="9"/>
      <c r="B236" s="10"/>
      <c r="C236" s="9"/>
      <c r="D236" s="3"/>
      <c r="E236" s="3"/>
      <c r="F236" s="8"/>
      <c r="G236" s="3"/>
      <c r="H236" s="3"/>
      <c r="I236" s="3"/>
      <c r="J236" s="8"/>
      <c r="K236" s="3"/>
      <c r="L236" s="3"/>
      <c r="M236" s="3"/>
      <c r="N236" s="8"/>
      <c r="P236" s="3"/>
      <c r="Q236" s="3"/>
      <c r="R236" s="8"/>
      <c r="S236" s="3"/>
      <c r="T236" s="3"/>
      <c r="U236" s="3"/>
      <c r="V236" s="8"/>
      <c r="W236" s="3"/>
      <c r="X236" s="3"/>
      <c r="Y236" s="3"/>
      <c r="Z236" s="8"/>
    </row>
    <row r="237" spans="1:26" s="23" customFormat="1" x14ac:dyDescent="0.25">
      <c r="A237" s="52"/>
      <c r="B237" s="10" t="s">
        <v>128</v>
      </c>
      <c r="C237" s="10"/>
      <c r="D237" s="4">
        <v>105021</v>
      </c>
      <c r="E237" s="4"/>
      <c r="F237" s="12">
        <f>IF(D$12=0,0,D237/D$12)</f>
        <v>0.23949067918768502</v>
      </c>
      <c r="G237" s="4"/>
      <c r="H237" s="4">
        <v>135162</v>
      </c>
      <c r="I237" s="4"/>
      <c r="J237" s="12">
        <f>IF(H$12=0,0,H237/H$12)</f>
        <v>0.23902467491816584</v>
      </c>
      <c r="K237" s="4"/>
      <c r="L237" s="4">
        <f>+D237-H237</f>
        <v>-30141</v>
      </c>
      <c r="M237" s="4"/>
      <c r="N237" s="12">
        <f>IF(H237=0,0,L237/H237)</f>
        <v>-0.22299906778532427</v>
      </c>
      <c r="O237" s="10"/>
      <c r="P237" s="4">
        <v>984412.28</v>
      </c>
      <c r="Q237" s="4"/>
      <c r="R237" s="12">
        <f>IF(P$12=0,0,P237/P$12)</f>
        <v>0.20920405874442996</v>
      </c>
      <c r="S237" s="4"/>
      <c r="T237" s="4">
        <v>1585653</v>
      </c>
      <c r="U237" s="4"/>
      <c r="V237" s="12">
        <f>IF(T$12=0,0,T237/T$12)</f>
        <v>0.18131653634785633</v>
      </c>
      <c r="W237" s="4"/>
      <c r="X237" s="4">
        <f>+P237-T237</f>
        <v>-601240.72</v>
      </c>
      <c r="Y237" s="4"/>
      <c r="Z237" s="12">
        <f>IF(T237=0,0,X237/T237)</f>
        <v>-0.37917546903389326</v>
      </c>
    </row>
    <row r="238" spans="1:26" x14ac:dyDescent="0.25">
      <c r="A238" s="9"/>
      <c r="B238" s="10"/>
      <c r="C238" s="10"/>
      <c r="D238" s="3"/>
      <c r="E238" s="3"/>
      <c r="F238" s="8"/>
      <c r="G238" s="3"/>
      <c r="H238" s="3"/>
      <c r="I238" s="3"/>
      <c r="J238" s="8"/>
      <c r="K238" s="3"/>
      <c r="L238" s="3"/>
      <c r="M238" s="3"/>
      <c r="N238" s="8"/>
      <c r="O238" s="10"/>
      <c r="P238" s="3"/>
      <c r="Q238" s="3"/>
      <c r="R238" s="8"/>
      <c r="S238" s="3"/>
      <c r="T238" s="3"/>
      <c r="U238" s="3"/>
      <c r="V238" s="8"/>
      <c r="W238" s="3"/>
      <c r="X238" s="3"/>
      <c r="Y238" s="3"/>
      <c r="Z238" s="8"/>
    </row>
    <row r="239" spans="1:26" s="23" customFormat="1" ht="15.75" thickBot="1" x14ac:dyDescent="0.3">
      <c r="A239" s="10"/>
      <c r="B239" s="28" t="s">
        <v>126</v>
      </c>
      <c r="C239" s="28"/>
      <c r="D239" s="31">
        <f>+D235-D237</f>
        <v>-130345.22999999984</v>
      </c>
      <c r="E239" s="14"/>
      <c r="F239" s="33">
        <f>IF(D$12=0,0,D239/D$12)</f>
        <v>-0.29724024396620657</v>
      </c>
      <c r="G239" s="14"/>
      <c r="H239" s="31">
        <f>+H235-H237</f>
        <v>-238590.98105547321</v>
      </c>
      <c r="I239" s="14"/>
      <c r="J239" s="33">
        <f>IF(H$12=0,0,H239/H$12)</f>
        <v>-0.42193169444955497</v>
      </c>
      <c r="K239" s="16"/>
      <c r="L239" s="31">
        <f>D239-H239</f>
        <v>108245.75105547337</v>
      </c>
      <c r="M239" s="16"/>
      <c r="N239" s="33">
        <f>IF(H239=0,0,L239/H239)</f>
        <v>-0.45368752237246501</v>
      </c>
      <c r="O239" s="29"/>
      <c r="P239" s="31">
        <f>+P235-P237</f>
        <v>-1129921.1100000017</v>
      </c>
      <c r="Q239" s="14"/>
      <c r="R239" s="33">
        <f>IF(P$12=0,0,P239/P$12)</f>
        <v>-0.24012711652988711</v>
      </c>
      <c r="S239" s="14"/>
      <c r="T239" s="31">
        <f>+T235-T237</f>
        <v>-1319905.3071516529</v>
      </c>
      <c r="U239" s="14"/>
      <c r="V239" s="33">
        <f>IF(T$12=0,0,T239/T$12)</f>
        <v>-0.15092877104883043</v>
      </c>
      <c r="W239" s="16"/>
      <c r="X239" s="31">
        <f>P239-T239</f>
        <v>189984.19715165114</v>
      </c>
      <c r="Y239" s="16"/>
      <c r="Z239" s="33">
        <f>IF(T239=0,0,X239/T239)</f>
        <v>-0.14393774774770457</v>
      </c>
    </row>
    <row r="240" spans="1:26" ht="15.75" thickTop="1" x14ac:dyDescent="0.25">
      <c r="A240" s="9"/>
      <c r="B240" s="9"/>
      <c r="C240" s="9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x14ac:dyDescent="0.25">
      <c r="A241" s="9"/>
      <c r="B241" s="9"/>
      <c r="C241" s="9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s="23" customFormat="1" ht="15.75" thickBot="1" x14ac:dyDescent="0.3">
      <c r="A242" s="10"/>
      <c r="B242" s="28" t="s">
        <v>294</v>
      </c>
      <c r="C242" s="28"/>
      <c r="D242" s="34">
        <f>SUM(D239:D241)</f>
        <v>-130345.22999999984</v>
      </c>
      <c r="E242" s="14"/>
      <c r="F242" s="35">
        <f>IF(D$12=0,0,D242/D$12)</f>
        <v>-0.29724024396620657</v>
      </c>
      <c r="G242" s="14"/>
      <c r="H242" s="34">
        <f>SUM(H239:H241)</f>
        <v>-238590.98105547321</v>
      </c>
      <c r="I242" s="14"/>
      <c r="J242" s="35">
        <f>IF(H$12=0,0,H242/H$12)</f>
        <v>-0.42193169444955497</v>
      </c>
      <c r="K242" s="16"/>
      <c r="L242" s="34">
        <f>+D242-H242</f>
        <v>108245.75105547337</v>
      </c>
      <c r="M242" s="16"/>
      <c r="N242" s="35">
        <f>IF(H242=0,0,L242/H242)</f>
        <v>-0.45368752237246501</v>
      </c>
      <c r="O242" s="29"/>
      <c r="P242" s="34">
        <f>SUM(P239:P241)</f>
        <v>-1129921.1100000017</v>
      </c>
      <c r="Q242" s="14"/>
      <c r="R242" s="35">
        <f>IF(P$12=0,0,P242/P$12)</f>
        <v>-0.24012711652988711</v>
      </c>
      <c r="S242" s="14"/>
      <c r="T242" s="34">
        <f>SUM(T239:T241)</f>
        <v>-1319905.3071516529</v>
      </c>
      <c r="U242" s="14"/>
      <c r="V242" s="35">
        <f>IF(T$12=0,0,T242/T$12)</f>
        <v>-0.15092877104883043</v>
      </c>
      <c r="W242" s="16"/>
      <c r="X242" s="34">
        <f>+P242-T242</f>
        <v>189984.19715165114</v>
      </c>
      <c r="Y242" s="16"/>
      <c r="Z242" s="35">
        <f>IF(T242=0,0,X242/T242)</f>
        <v>-0.14393774774770457</v>
      </c>
    </row>
    <row r="243" spans="1:26" ht="15.75" thickTop="1" x14ac:dyDescent="0.25">
      <c r="A243" s="9"/>
      <c r="C243" s="9"/>
      <c r="D243" s="18"/>
      <c r="E243" s="18"/>
      <c r="G243" s="18"/>
      <c r="H243" s="18"/>
      <c r="I243" s="18"/>
      <c r="J243" s="43"/>
      <c r="K243" s="18"/>
      <c r="L243" s="18"/>
      <c r="M243" s="18"/>
      <c r="P243" s="18"/>
      <c r="Q243" s="18"/>
      <c r="R243" s="43"/>
      <c r="S243" s="18"/>
      <c r="T243" s="18"/>
      <c r="U243" s="18"/>
      <c r="V243" s="43"/>
      <c r="W243" s="18"/>
      <c r="X243" s="18"/>
    </row>
    <row r="244" spans="1:26" x14ac:dyDescent="0.25">
      <c r="A244" s="9"/>
      <c r="B244" s="62">
        <v>44330.005809803239</v>
      </c>
      <c r="D244" s="18"/>
      <c r="E244" s="18"/>
      <c r="G244" s="18"/>
      <c r="H244" s="18"/>
      <c r="I244" s="18"/>
      <c r="J244" s="43"/>
      <c r="K244" s="18"/>
      <c r="L244" s="18"/>
      <c r="M244" s="18"/>
      <c r="P244" s="18"/>
      <c r="Q244" s="18"/>
      <c r="R244" s="43"/>
      <c r="S244" s="18"/>
      <c r="T244" s="18"/>
      <c r="U244" s="18"/>
      <c r="V244" s="43"/>
      <c r="W244" s="18"/>
      <c r="X244" s="18"/>
    </row>
    <row r="245" spans="1:26" x14ac:dyDescent="0.25">
      <c r="A245" s="9"/>
      <c r="B245" s="56" t="s">
        <v>56</v>
      </c>
      <c r="D245" s="18"/>
      <c r="E245" s="18"/>
      <c r="G245" s="18"/>
      <c r="H245" s="18"/>
      <c r="I245" s="18"/>
      <c r="J245" s="43"/>
      <c r="K245" s="18"/>
      <c r="L245" s="18"/>
      <c r="M245" s="18"/>
      <c r="P245" s="18"/>
      <c r="Q245" s="18"/>
      <c r="R245" s="43"/>
      <c r="S245" s="18"/>
      <c r="T245" s="18"/>
      <c r="U245" s="18"/>
      <c r="V245" s="43"/>
      <c r="W245" s="18"/>
      <c r="X245" s="18"/>
    </row>
    <row r="246" spans="1:26" x14ac:dyDescent="0.25">
      <c r="A246" s="9"/>
      <c r="B246" s="55"/>
      <c r="D246" s="18"/>
      <c r="E246" s="18"/>
      <c r="G246" s="18"/>
      <c r="H246" s="18"/>
      <c r="I246" s="18"/>
      <c r="J246" s="43"/>
      <c r="K246" s="18"/>
      <c r="L246" s="18"/>
      <c r="M246" s="18"/>
      <c r="P246" s="18"/>
      <c r="Q246" s="18"/>
      <c r="R246" s="43"/>
      <c r="S246" s="18"/>
      <c r="T246" s="18"/>
      <c r="U246" s="18"/>
      <c r="V246" s="43"/>
      <c r="W246" s="18"/>
      <c r="X246" s="18"/>
    </row>
    <row r="247" spans="1:26" x14ac:dyDescent="0.25">
      <c r="D247" s="18"/>
      <c r="E247" s="18"/>
      <c r="G247" s="18"/>
      <c r="H247" s="18"/>
      <c r="I247" s="18"/>
      <c r="J247" s="43"/>
      <c r="K247" s="18"/>
      <c r="L247" s="18"/>
      <c r="M247" s="18"/>
      <c r="P247" s="18"/>
      <c r="Q247" s="18"/>
      <c r="R247" s="43"/>
      <c r="S247" s="18"/>
      <c r="T247" s="18"/>
      <c r="U247" s="18"/>
      <c r="V247" s="43"/>
      <c r="W247" s="18"/>
      <c r="X24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256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438466.21000000008</v>
      </c>
      <c r="E12" s="4"/>
      <c r="F12" s="12"/>
      <c r="G12" s="4"/>
      <c r="H12" s="4">
        <f>SUM(OSRRefH13x_0)</f>
        <v>473860</v>
      </c>
      <c r="I12" s="4"/>
      <c r="J12" s="12"/>
      <c r="K12" s="4"/>
      <c r="L12" s="4">
        <f t="shared" ref="L12:L77" si="0">+D12-H12</f>
        <v>-35393.789999999921</v>
      </c>
      <c r="M12" s="4"/>
      <c r="N12" s="12">
        <f t="shared" ref="N12:N77" si="1">IF(H12=0,0,L12/H12)</f>
        <v>-7.4692504115139322E-2</v>
      </c>
      <c r="O12" s="10"/>
      <c r="P12" s="4">
        <f>SUM(OSRRefP13x_0)</f>
        <v>4702639.42</v>
      </c>
      <c r="Q12" s="4"/>
      <c r="R12" s="12"/>
      <c r="S12" s="4"/>
      <c r="T12" s="4">
        <f>SUM(OSRRefT13x_0)</f>
        <v>8192806</v>
      </c>
      <c r="U12" s="4"/>
      <c r="V12" s="12"/>
      <c r="W12" s="4"/>
      <c r="X12" s="4">
        <f t="shared" ref="X12:X77" si="2">+P12-T12</f>
        <v>-3490166.58</v>
      </c>
      <c r="Y12" s="4"/>
      <c r="Z12" s="12">
        <f t="shared" ref="Z12:Z77" si="3">IF(T12=0,0,X12/T12)</f>
        <v>-0.4260038111484637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-13171.93</f>
        <v>-13171.93</v>
      </c>
      <c r="E13" s="2"/>
      <c r="F13" s="19"/>
      <c r="G13" s="2"/>
      <c r="H13" s="2">
        <v>422315</v>
      </c>
      <c r="I13" s="2"/>
      <c r="J13" s="19"/>
      <c r="K13" s="2"/>
      <c r="L13" s="2">
        <f t="shared" si="0"/>
        <v>-435486.93</v>
      </c>
      <c r="M13" s="2"/>
      <c r="N13" s="19">
        <f t="shared" si="1"/>
        <v>-1.0311898227626297</v>
      </c>
      <c r="O13" s="11"/>
      <c r="P13" s="2">
        <f>-133095.19</f>
        <v>-133095.19</v>
      </c>
      <c r="Q13" s="2"/>
      <c r="R13" s="19"/>
      <c r="S13" s="2"/>
      <c r="T13" s="2">
        <v>7932774</v>
      </c>
      <c r="U13" s="2"/>
      <c r="V13" s="19"/>
      <c r="W13" s="2"/>
      <c r="X13" s="2">
        <f t="shared" si="2"/>
        <v>-8065869.1900000004</v>
      </c>
      <c r="Y13" s="2"/>
      <c r="Z13" s="19">
        <f t="shared" si="3"/>
        <v>-1.0167778875334152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--31347.12</f>
        <v>31347.119999999999</v>
      </c>
      <c r="E14" s="2"/>
      <c r="F14" s="19"/>
      <c r="G14" s="2"/>
      <c r="H14" s="2"/>
      <c r="I14" s="2"/>
      <c r="J14" s="19"/>
      <c r="K14" s="2"/>
      <c r="L14" s="2">
        <f t="shared" si="0"/>
        <v>31347.119999999999</v>
      </c>
      <c r="M14" s="2"/>
      <c r="N14" s="19">
        <f t="shared" si="1"/>
        <v>0</v>
      </c>
      <c r="O14" s="11"/>
      <c r="P14" s="2">
        <f>--1263810.36</f>
        <v>1263810.3600000001</v>
      </c>
      <c r="Q14" s="2"/>
      <c r="R14" s="19"/>
      <c r="S14" s="2"/>
      <c r="T14" s="2"/>
      <c r="U14" s="2"/>
      <c r="V14" s="19"/>
      <c r="W14" s="2"/>
      <c r="X14" s="2">
        <f t="shared" si="2"/>
        <v>1263810.3600000001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--1971.3</f>
        <v>1971.3</v>
      </c>
      <c r="E15" s="2"/>
      <c r="F15" s="19"/>
      <c r="G15" s="2"/>
      <c r="H15" s="2"/>
      <c r="I15" s="2"/>
      <c r="J15" s="19"/>
      <c r="K15" s="2"/>
      <c r="L15" s="2">
        <f t="shared" si="0"/>
        <v>1971.3</v>
      </c>
      <c r="M15" s="2"/>
      <c r="N15" s="19">
        <f t="shared" si="1"/>
        <v>0</v>
      </c>
      <c r="O15" s="11"/>
      <c r="P15" s="2">
        <f>--578768.63</f>
        <v>578768.63</v>
      </c>
      <c r="Q15" s="2"/>
      <c r="R15" s="19"/>
      <c r="S15" s="2"/>
      <c r="T15" s="2"/>
      <c r="U15" s="2"/>
      <c r="V15" s="19"/>
      <c r="W15" s="2"/>
      <c r="X15" s="2">
        <f t="shared" si="2"/>
        <v>578768.63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--20</f>
        <v>20</v>
      </c>
      <c r="E16" s="2"/>
      <c r="F16" s="19"/>
      <c r="G16" s="2"/>
      <c r="H16" s="2"/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1"/>
      <c r="P16" s="2">
        <f>--17997.88</f>
        <v>17997.88</v>
      </c>
      <c r="Q16" s="2"/>
      <c r="R16" s="19"/>
      <c r="S16" s="2"/>
      <c r="T16" s="2"/>
      <c r="U16" s="2"/>
      <c r="V16" s="19"/>
      <c r="W16" s="2"/>
      <c r="X16" s="2">
        <f t="shared" si="2"/>
        <v>17997.88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--61.81</f>
        <v>61.81</v>
      </c>
      <c r="E18" s="2"/>
      <c r="F18" s="19"/>
      <c r="G18" s="2"/>
      <c r="H18" s="2"/>
      <c r="I18" s="2"/>
      <c r="J18" s="19"/>
      <c r="K18" s="2"/>
      <c r="L18" s="2">
        <f t="shared" si="0"/>
        <v>61.81</v>
      </c>
      <c r="M18" s="2"/>
      <c r="N18" s="19">
        <f t="shared" si="1"/>
        <v>0</v>
      </c>
      <c r="O18" s="11"/>
      <c r="P18" s="2">
        <f>--1263.83</f>
        <v>1263.83</v>
      </c>
      <c r="Q18" s="2"/>
      <c r="R18" s="19"/>
      <c r="S18" s="2"/>
      <c r="T18" s="2"/>
      <c r="U18" s="2"/>
      <c r="V18" s="19"/>
      <c r="W18" s="2"/>
      <c r="X18" s="2">
        <f t="shared" si="2"/>
        <v>1263.83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--36.85</f>
        <v>36.85</v>
      </c>
      <c r="E19" s="2"/>
      <c r="F19" s="19"/>
      <c r="G19" s="2"/>
      <c r="H19" s="2"/>
      <c r="I19" s="2"/>
      <c r="J19" s="19"/>
      <c r="K19" s="2"/>
      <c r="L19" s="2">
        <f t="shared" si="0"/>
        <v>36.85</v>
      </c>
      <c r="M19" s="2"/>
      <c r="N19" s="19">
        <f t="shared" si="1"/>
        <v>0</v>
      </c>
      <c r="O19" s="11"/>
      <c r="P19" s="2">
        <f>--484.55</f>
        <v>484.55</v>
      </c>
      <c r="Q19" s="2"/>
      <c r="R19" s="19"/>
      <c r="S19" s="2"/>
      <c r="T19" s="2"/>
      <c r="U19" s="2"/>
      <c r="V19" s="19"/>
      <c r="W19" s="2"/>
      <c r="X19" s="2">
        <f t="shared" si="2"/>
        <v>484.55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--72.96</f>
        <v>72.959999999999994</v>
      </c>
      <c r="E20" s="2"/>
      <c r="F20" s="19"/>
      <c r="G20" s="2"/>
      <c r="H20" s="2"/>
      <c r="I20" s="2"/>
      <c r="J20" s="19"/>
      <c r="K20" s="2"/>
      <c r="L20" s="2">
        <f t="shared" si="0"/>
        <v>72.959999999999994</v>
      </c>
      <c r="M20" s="2"/>
      <c r="N20" s="19">
        <f t="shared" si="1"/>
        <v>0</v>
      </c>
      <c r="O20" s="11"/>
      <c r="P20" s="2">
        <f>--473.1</f>
        <v>473.1</v>
      </c>
      <c r="Q20" s="2"/>
      <c r="R20" s="19"/>
      <c r="S20" s="2"/>
      <c r="T20" s="2"/>
      <c r="U20" s="2"/>
      <c r="V20" s="19"/>
      <c r="W20" s="2"/>
      <c r="X20" s="2">
        <f t="shared" si="2"/>
        <v>473.1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--21.42</f>
        <v>21.42</v>
      </c>
      <c r="E21" s="2"/>
      <c r="F21" s="19"/>
      <c r="G21" s="2"/>
      <c r="H21" s="2"/>
      <c r="I21" s="2"/>
      <c r="J21" s="19"/>
      <c r="K21" s="2"/>
      <c r="L21" s="2">
        <f t="shared" si="0"/>
        <v>21.42</v>
      </c>
      <c r="M21" s="2"/>
      <c r="N21" s="19">
        <f t="shared" si="1"/>
        <v>0</v>
      </c>
      <c r="O21" s="11"/>
      <c r="P21" s="2">
        <f>--486.17</f>
        <v>486.17</v>
      </c>
      <c r="Q21" s="2"/>
      <c r="R21" s="19"/>
      <c r="S21" s="2"/>
      <c r="T21" s="2"/>
      <c r="U21" s="2"/>
      <c r="V21" s="19"/>
      <c r="W21" s="2"/>
      <c r="X21" s="2">
        <f t="shared" si="2"/>
        <v>486.17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--6558.65</f>
        <v>6558.65</v>
      </c>
      <c r="E22" s="2"/>
      <c r="F22" s="19"/>
      <c r="G22" s="2"/>
      <c r="H22" s="2"/>
      <c r="I22" s="2"/>
      <c r="J22" s="19"/>
      <c r="K22" s="2"/>
      <c r="L22" s="2">
        <f t="shared" si="0"/>
        <v>6558.65</v>
      </c>
      <c r="M22" s="2"/>
      <c r="N22" s="19">
        <f t="shared" si="1"/>
        <v>0</v>
      </c>
      <c r="O22" s="11"/>
      <c r="P22" s="2">
        <f>--64070.97</f>
        <v>64070.97</v>
      </c>
      <c r="Q22" s="2"/>
      <c r="R22" s="19"/>
      <c r="S22" s="2"/>
      <c r="T22" s="2"/>
      <c r="U22" s="2"/>
      <c r="V22" s="19"/>
      <c r="W22" s="2"/>
      <c r="X22" s="2">
        <f t="shared" si="2"/>
        <v>64070.97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--2650.79</f>
        <v>2650.79</v>
      </c>
      <c r="E23" s="2"/>
      <c r="F23" s="19"/>
      <c r="G23" s="2"/>
      <c r="H23" s="2"/>
      <c r="I23" s="2"/>
      <c r="J23" s="19"/>
      <c r="K23" s="2"/>
      <c r="L23" s="2">
        <f t="shared" si="0"/>
        <v>2650.79</v>
      </c>
      <c r="M23" s="2"/>
      <c r="N23" s="19">
        <f t="shared" si="1"/>
        <v>0</v>
      </c>
      <c r="O23" s="11"/>
      <c r="P23" s="2">
        <f>--46900.17</f>
        <v>46900.17</v>
      </c>
      <c r="Q23" s="2"/>
      <c r="R23" s="19"/>
      <c r="S23" s="2"/>
      <c r="T23" s="2"/>
      <c r="U23" s="2"/>
      <c r="V23" s="19"/>
      <c r="W23" s="2"/>
      <c r="X23" s="2">
        <f t="shared" si="2"/>
        <v>46900.17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--595.72</f>
        <v>595.72</v>
      </c>
      <c r="E24" s="2"/>
      <c r="F24" s="19"/>
      <c r="G24" s="2"/>
      <c r="H24" s="2"/>
      <c r="I24" s="2"/>
      <c r="J24" s="19"/>
      <c r="K24" s="2"/>
      <c r="L24" s="2">
        <f t="shared" si="0"/>
        <v>595.72</v>
      </c>
      <c r="M24" s="2"/>
      <c r="N24" s="19">
        <f t="shared" si="1"/>
        <v>0</v>
      </c>
      <c r="O24" s="11"/>
      <c r="P24" s="2">
        <f>--4210.59</f>
        <v>4210.59</v>
      </c>
      <c r="Q24" s="2"/>
      <c r="R24" s="19"/>
      <c r="S24" s="2"/>
      <c r="T24" s="2"/>
      <c r="U24" s="2"/>
      <c r="V24" s="19"/>
      <c r="W24" s="2"/>
      <c r="X24" s="2">
        <f t="shared" si="2"/>
        <v>4210.59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--159179.58</f>
        <v>159179.57999999999</v>
      </c>
      <c r="E26" s="2"/>
      <c r="F26" s="19"/>
      <c r="G26" s="2"/>
      <c r="H26" s="2"/>
      <c r="I26" s="2"/>
      <c r="J26" s="19"/>
      <c r="K26" s="2"/>
      <c r="L26" s="2">
        <f t="shared" si="0"/>
        <v>159179.57999999999</v>
      </c>
      <c r="M26" s="2"/>
      <c r="N26" s="19">
        <f t="shared" si="1"/>
        <v>0</v>
      </c>
      <c r="O26" s="11"/>
      <c r="P26" s="2">
        <f>--913180.73</f>
        <v>913180.73</v>
      </c>
      <c r="Q26" s="2"/>
      <c r="R26" s="19"/>
      <c r="S26" s="2"/>
      <c r="T26" s="2"/>
      <c r="U26" s="2"/>
      <c r="V26" s="19"/>
      <c r="W26" s="2"/>
      <c r="X26" s="2">
        <f t="shared" si="2"/>
        <v>913180.73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--116440.2</f>
        <v>116440.2</v>
      </c>
      <c r="E27" s="2"/>
      <c r="F27" s="19"/>
      <c r="G27" s="2"/>
      <c r="H27" s="2"/>
      <c r="I27" s="2"/>
      <c r="J27" s="19"/>
      <c r="K27" s="2"/>
      <c r="L27" s="2">
        <f t="shared" si="0"/>
        <v>116440.2</v>
      </c>
      <c r="M27" s="2"/>
      <c r="N27" s="19">
        <f t="shared" si="1"/>
        <v>0</v>
      </c>
      <c r="O27" s="11"/>
      <c r="P27" s="2">
        <f>--440456.98</f>
        <v>440456.98</v>
      </c>
      <c r="Q27" s="2"/>
      <c r="R27" s="19"/>
      <c r="S27" s="2"/>
      <c r="T27" s="2"/>
      <c r="U27" s="2"/>
      <c r="V27" s="19"/>
      <c r="W27" s="2"/>
      <c r="X27" s="2">
        <f t="shared" si="2"/>
        <v>440456.98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--10630.32</f>
        <v>10630.32</v>
      </c>
      <c r="E28" s="2"/>
      <c r="F28" s="19"/>
      <c r="G28" s="2"/>
      <c r="H28" s="2"/>
      <c r="I28" s="2"/>
      <c r="J28" s="19"/>
      <c r="K28" s="2"/>
      <c r="L28" s="2">
        <f t="shared" si="0"/>
        <v>10630.32</v>
      </c>
      <c r="M28" s="2"/>
      <c r="N28" s="19">
        <f t="shared" si="1"/>
        <v>0</v>
      </c>
      <c r="O28" s="11"/>
      <c r="P28" s="2">
        <f>--100678.52</f>
        <v>100678.52</v>
      </c>
      <c r="Q28" s="2"/>
      <c r="R28" s="19"/>
      <c r="S28" s="2"/>
      <c r="T28" s="2"/>
      <c r="U28" s="2"/>
      <c r="V28" s="19"/>
      <c r="W28" s="2"/>
      <c r="X28" s="2">
        <f t="shared" si="2"/>
        <v>100678.52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--4423.21</f>
        <v>4423.21</v>
      </c>
      <c r="E29" s="2"/>
      <c r="F29" s="19"/>
      <c r="G29" s="2"/>
      <c r="H29" s="2"/>
      <c r="I29" s="2"/>
      <c r="J29" s="19"/>
      <c r="K29" s="2"/>
      <c r="L29" s="2">
        <f t="shared" si="0"/>
        <v>4423.21</v>
      </c>
      <c r="M29" s="2"/>
      <c r="N29" s="19">
        <f t="shared" si="1"/>
        <v>0</v>
      </c>
      <c r="O29" s="11"/>
      <c r="P29" s="2">
        <f>--136859.38</f>
        <v>136859.38</v>
      </c>
      <c r="Q29" s="2"/>
      <c r="R29" s="19"/>
      <c r="S29" s="2"/>
      <c r="T29" s="2"/>
      <c r="U29" s="2"/>
      <c r="V29" s="19"/>
      <c r="W29" s="2"/>
      <c r="X29" s="2">
        <f t="shared" si="2"/>
        <v>136859.38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--4745.38</f>
        <v>4745.38</v>
      </c>
      <c r="E30" s="2"/>
      <c r="F30" s="19"/>
      <c r="G30" s="2"/>
      <c r="H30" s="2"/>
      <c r="I30" s="2"/>
      <c r="J30" s="19"/>
      <c r="K30" s="2"/>
      <c r="L30" s="2">
        <f t="shared" si="0"/>
        <v>4745.38</v>
      </c>
      <c r="M30" s="2"/>
      <c r="N30" s="19">
        <f t="shared" si="1"/>
        <v>0</v>
      </c>
      <c r="O30" s="11"/>
      <c r="P30" s="2">
        <f>--36092.23</f>
        <v>36092.230000000003</v>
      </c>
      <c r="Q30" s="2"/>
      <c r="R30" s="19"/>
      <c r="S30" s="2"/>
      <c r="T30" s="2"/>
      <c r="U30" s="2"/>
      <c r="V30" s="19"/>
      <c r="W30" s="2"/>
      <c r="X30" s="2">
        <f t="shared" si="2"/>
        <v>36092.230000000003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--63044.9</f>
        <v>63044.9</v>
      </c>
      <c r="E31" s="2"/>
      <c r="F31" s="19"/>
      <c r="G31" s="2"/>
      <c r="H31" s="2"/>
      <c r="I31" s="2"/>
      <c r="J31" s="19"/>
      <c r="K31" s="2"/>
      <c r="L31" s="2">
        <f t="shared" si="0"/>
        <v>63044.9</v>
      </c>
      <c r="M31" s="2"/>
      <c r="N31" s="19">
        <f t="shared" si="1"/>
        <v>0</v>
      </c>
      <c r="O31" s="11"/>
      <c r="P31" s="2">
        <f>--207242.34</f>
        <v>207242.34</v>
      </c>
      <c r="Q31" s="2"/>
      <c r="R31" s="19"/>
      <c r="S31" s="2"/>
      <c r="T31" s="2"/>
      <c r="U31" s="2"/>
      <c r="V31" s="19"/>
      <c r="W31" s="2"/>
      <c r="X31" s="2">
        <f t="shared" si="2"/>
        <v>207242.34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--71.95</f>
        <v>71.95</v>
      </c>
      <c r="Q32" s="2"/>
      <c r="R32" s="19"/>
      <c r="S32" s="2"/>
      <c r="T32" s="2"/>
      <c r="U32" s="2"/>
      <c r="V32" s="19"/>
      <c r="W32" s="2"/>
      <c r="X32" s="2">
        <f t="shared" si="2"/>
        <v>71.95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--9.99</f>
        <v>9.99</v>
      </c>
      <c r="Q33" s="2"/>
      <c r="R33" s="19"/>
      <c r="S33" s="2"/>
      <c r="T33" s="2"/>
      <c r="U33" s="2"/>
      <c r="V33" s="19"/>
      <c r="W33" s="2"/>
      <c r="X33" s="2">
        <f t="shared" si="2"/>
        <v>9.99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"4095", " - ", "TAXABLE SALES-CUSTOMER SERVICE")</f>
        <v xml:space="preserve">          4095 - TAXABLE SALES-CUSTOMER SERVICE</v>
      </c>
      <c r="C34" s="11"/>
      <c r="D34" s="2">
        <f>--2119.46</f>
        <v>2119.46</v>
      </c>
      <c r="E34" s="2"/>
      <c r="F34" s="19"/>
      <c r="G34" s="2"/>
      <c r="H34" s="2"/>
      <c r="I34" s="2"/>
      <c r="J34" s="19"/>
      <c r="K34" s="2"/>
      <c r="L34" s="2">
        <f t="shared" si="0"/>
        <v>2119.46</v>
      </c>
      <c r="M34" s="2"/>
      <c r="N34" s="19">
        <f t="shared" si="1"/>
        <v>0</v>
      </c>
      <c r="O34" s="11"/>
      <c r="P34" s="2">
        <f>--3034.59</f>
        <v>3034.59</v>
      </c>
      <c r="Q34" s="2"/>
      <c r="R34" s="19"/>
      <c r="S34" s="2"/>
      <c r="T34" s="2"/>
      <c r="U34" s="2"/>
      <c r="V34" s="19"/>
      <c r="W34" s="2"/>
      <c r="X34" s="2">
        <f t="shared" si="2"/>
        <v>3034.59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"4100", " - ", "NON-TAXABLE SALES")</f>
        <v xml:space="preserve">          4100 - NON-TAXABLE SALES</v>
      </c>
      <c r="C35" s="11"/>
      <c r="D35" s="2">
        <f>-12385.33</f>
        <v>-12385.33</v>
      </c>
      <c r="E35" s="2"/>
      <c r="F35" s="19"/>
      <c r="G35" s="2"/>
      <c r="H35" s="2">
        <v>51545</v>
      </c>
      <c r="I35" s="2"/>
      <c r="J35" s="19"/>
      <c r="K35" s="2"/>
      <c r="L35" s="2">
        <f t="shared" si="0"/>
        <v>-63930.33</v>
      </c>
      <c r="M35" s="2"/>
      <c r="N35" s="19">
        <f t="shared" si="1"/>
        <v>-1.2402818896110195</v>
      </c>
      <c r="O35" s="11"/>
      <c r="P35" s="2">
        <f>--273838.77</f>
        <v>273838.77</v>
      </c>
      <c r="Q35" s="2"/>
      <c r="R35" s="19"/>
      <c r="S35" s="2"/>
      <c r="T35" s="2">
        <v>260032</v>
      </c>
      <c r="U35" s="2"/>
      <c r="V35" s="19"/>
      <c r="W35" s="2"/>
      <c r="X35" s="2">
        <f t="shared" si="2"/>
        <v>13806.770000000019</v>
      </c>
      <c r="Y35" s="2"/>
      <c r="Z35" s="19">
        <f t="shared" si="3"/>
        <v>5.3096426593650083E-2</v>
      </c>
    </row>
    <row r="36" spans="1:26" s="24" customFormat="1" hidden="1" outlineLevel="1" x14ac:dyDescent="0.25">
      <c r="A36" s="44"/>
      <c r="B36" s="11" t="str">
        <f>CONCATENATE("          ", "4101", " - ", "NON-TAXABLE SALES-NEW TEXT")</f>
        <v xml:space="preserve">          4101 - NON-TAXABLE SALES-NEW TEXT</v>
      </c>
      <c r="C36" s="11"/>
      <c r="D36" s="2">
        <f>--741.03</f>
        <v>741.03</v>
      </c>
      <c r="E36" s="2"/>
      <c r="F36" s="19"/>
      <c r="G36" s="2"/>
      <c r="H36" s="2"/>
      <c r="I36" s="2"/>
      <c r="J36" s="19"/>
      <c r="K36" s="2"/>
      <c r="L36" s="2">
        <f t="shared" si="0"/>
        <v>741.03</v>
      </c>
      <c r="M36" s="2"/>
      <c r="N36" s="19">
        <f t="shared" si="1"/>
        <v>0</v>
      </c>
      <c r="O36" s="11"/>
      <c r="P36" s="2">
        <f>--112796.74</f>
        <v>112796.74</v>
      </c>
      <c r="Q36" s="2"/>
      <c r="R36" s="19"/>
      <c r="S36" s="2"/>
      <c r="T36" s="2"/>
      <c r="U36" s="2"/>
      <c r="V36" s="19"/>
      <c r="W36" s="2"/>
      <c r="X36" s="2">
        <f t="shared" si="2"/>
        <v>112796.74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"4102", " - ", "NON-TAXABLE SALES-USED TEXT")</f>
        <v xml:space="preserve">          4102 - NON-TAXABLE SALES-USED TEXT</v>
      </c>
      <c r="C37" s="11"/>
      <c r="D37" s="2">
        <f>--743.99</f>
        <v>743.99</v>
      </c>
      <c r="E37" s="2"/>
      <c r="F37" s="19"/>
      <c r="G37" s="2"/>
      <c r="H37" s="2"/>
      <c r="I37" s="2"/>
      <c r="J37" s="19"/>
      <c r="K37" s="2"/>
      <c r="L37" s="2">
        <f t="shared" si="0"/>
        <v>743.99</v>
      </c>
      <c r="M37" s="2"/>
      <c r="N37" s="19">
        <f t="shared" si="1"/>
        <v>0</v>
      </c>
      <c r="O37" s="11"/>
      <c r="P37" s="2">
        <f>--48703.42</f>
        <v>48703.42</v>
      </c>
      <c r="Q37" s="2"/>
      <c r="R37" s="19"/>
      <c r="S37" s="2"/>
      <c r="T37" s="2"/>
      <c r="U37" s="2"/>
      <c r="V37" s="19"/>
      <c r="W37" s="2"/>
      <c r="X37" s="2">
        <f t="shared" si="2"/>
        <v>48703.42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--1138.95</f>
        <v>1138.95</v>
      </c>
      <c r="Q38" s="2"/>
      <c r="R38" s="19"/>
      <c r="S38" s="2"/>
      <c r="T38" s="2"/>
      <c r="U38" s="2"/>
      <c r="V38" s="19"/>
      <c r="W38" s="2"/>
      <c r="X38" s="2">
        <f t="shared" si="2"/>
        <v>1138.95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--3431.99</f>
        <v>3431.99</v>
      </c>
      <c r="E39" s="2"/>
      <c r="F39" s="19"/>
      <c r="G39" s="2"/>
      <c r="H39" s="2"/>
      <c r="I39" s="2"/>
      <c r="J39" s="19"/>
      <c r="K39" s="2"/>
      <c r="L39" s="2">
        <f t="shared" si="0"/>
        <v>3431.99</v>
      </c>
      <c r="M39" s="2"/>
      <c r="N39" s="19">
        <f t="shared" si="1"/>
        <v>0</v>
      </c>
      <c r="O39" s="11"/>
      <c r="P39" s="2">
        <f>--480403.17</f>
        <v>480403.17</v>
      </c>
      <c r="Q39" s="2"/>
      <c r="R39" s="19"/>
      <c r="S39" s="2"/>
      <c r="T39" s="2"/>
      <c r="U39" s="2"/>
      <c r="V39" s="19"/>
      <c r="W39" s="2"/>
      <c r="X39" s="2">
        <f t="shared" si="2"/>
        <v>480403.17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--738</f>
        <v>738</v>
      </c>
      <c r="E40" s="2"/>
      <c r="F40" s="19"/>
      <c r="G40" s="2"/>
      <c r="H40" s="2"/>
      <c r="I40" s="2"/>
      <c r="J40" s="19"/>
      <c r="K40" s="2"/>
      <c r="L40" s="2">
        <f t="shared" si="0"/>
        <v>738</v>
      </c>
      <c r="M40" s="2"/>
      <c r="N40" s="19">
        <f t="shared" si="1"/>
        <v>0</v>
      </c>
      <c r="O40" s="11"/>
      <c r="P40" s="2">
        <f>--12127.25</f>
        <v>12127.25</v>
      </c>
      <c r="Q40" s="2"/>
      <c r="R40" s="19"/>
      <c r="S40" s="2"/>
      <c r="T40" s="2"/>
      <c r="U40" s="2"/>
      <c r="V40" s="19"/>
      <c r="W40" s="2"/>
      <c r="X40" s="2">
        <f t="shared" si="2"/>
        <v>12127.25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ref="D41:D42" si="5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--771.73</f>
        <v>771.73</v>
      </c>
      <c r="Q41" s="2"/>
      <c r="R41" s="19"/>
      <c r="S41" s="2"/>
      <c r="T41" s="2"/>
      <c r="U41" s="2"/>
      <c r="V41" s="19"/>
      <c r="W41" s="2"/>
      <c r="X41" s="2">
        <f t="shared" si="2"/>
        <v>771.73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5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--52.68</f>
        <v>52.68</v>
      </c>
      <c r="Q42" s="2"/>
      <c r="R42" s="19"/>
      <c r="S42" s="2"/>
      <c r="T42" s="2"/>
      <c r="U42" s="2"/>
      <c r="V42" s="19"/>
      <c r="W42" s="2"/>
      <c r="X42" s="2">
        <f t="shared" si="2"/>
        <v>52.68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--493.37</f>
        <v>493.37</v>
      </c>
      <c r="E43" s="2"/>
      <c r="F43" s="19"/>
      <c r="G43" s="2"/>
      <c r="H43" s="2"/>
      <c r="I43" s="2"/>
      <c r="J43" s="19"/>
      <c r="K43" s="2"/>
      <c r="L43" s="2">
        <f t="shared" si="0"/>
        <v>493.37</v>
      </c>
      <c r="M43" s="2"/>
      <c r="N43" s="19">
        <f t="shared" si="1"/>
        <v>0</v>
      </c>
      <c r="O43" s="11"/>
      <c r="P43" s="2">
        <f>--7100.68</f>
        <v>7100.68</v>
      </c>
      <c r="Q43" s="2"/>
      <c r="R43" s="19"/>
      <c r="S43" s="2"/>
      <c r="T43" s="2"/>
      <c r="U43" s="2"/>
      <c r="V43" s="19"/>
      <c r="W43" s="2"/>
      <c r="X43" s="2">
        <f t="shared" si="2"/>
        <v>7100.68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"4128", " - ", "NON-TAXABLE SALES-ART/TECH")</f>
        <v xml:space="preserve">          4128 - NON-TAXABLE SALES-ART/TECH</v>
      </c>
      <c r="C44" s="11"/>
      <c r="D44" s="2">
        <f>--31.37</f>
        <v>31.37</v>
      </c>
      <c r="E44" s="2"/>
      <c r="F44" s="19"/>
      <c r="G44" s="2"/>
      <c r="H44" s="2"/>
      <c r="I44" s="2"/>
      <c r="J44" s="19"/>
      <c r="K44" s="2"/>
      <c r="L44" s="2">
        <f t="shared" si="0"/>
        <v>31.37</v>
      </c>
      <c r="M44" s="2"/>
      <c r="N44" s="19">
        <f t="shared" si="1"/>
        <v>0</v>
      </c>
      <c r="O44" s="11"/>
      <c r="P44" s="2">
        <f>--69.95</f>
        <v>69.95</v>
      </c>
      <c r="Q44" s="2"/>
      <c r="R44" s="19"/>
      <c r="S44" s="2"/>
      <c r="T44" s="2"/>
      <c r="U44" s="2"/>
      <c r="V44" s="19"/>
      <c r="W44" s="2"/>
      <c r="X44" s="2">
        <f t="shared" si="2"/>
        <v>69.95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"4131", " - ", "NON-TAXABLE SALES-FOOD")</f>
        <v xml:space="preserve">          4131 - NON-TAXABLE SALES-FOOD</v>
      </c>
      <c r="C45" s="11"/>
      <c r="D45" s="2">
        <f>--975.93</f>
        <v>975.93</v>
      </c>
      <c r="E45" s="2"/>
      <c r="F45" s="19"/>
      <c r="G45" s="2"/>
      <c r="H45" s="2"/>
      <c r="I45" s="2"/>
      <c r="J45" s="19"/>
      <c r="K45" s="2"/>
      <c r="L45" s="2">
        <f t="shared" si="0"/>
        <v>975.93</v>
      </c>
      <c r="M45" s="2"/>
      <c r="N45" s="19">
        <f t="shared" si="1"/>
        <v>0</v>
      </c>
      <c r="O45" s="11"/>
      <c r="P45" s="2">
        <f>--11380.36</f>
        <v>11380.36</v>
      </c>
      <c r="Q45" s="2"/>
      <c r="R45" s="19"/>
      <c r="S45" s="2"/>
      <c r="T45" s="2"/>
      <c r="U45" s="2"/>
      <c r="V45" s="19"/>
      <c r="W45" s="2"/>
      <c r="X45" s="2">
        <f t="shared" si="2"/>
        <v>11380.36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6"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--22.49</f>
        <v>22.49</v>
      </c>
      <c r="Q46" s="2"/>
      <c r="R46" s="19"/>
      <c r="S46" s="2"/>
      <c r="T46" s="2"/>
      <c r="U46" s="2"/>
      <c r="V46" s="19"/>
      <c r="W46" s="2"/>
      <c r="X46" s="2">
        <f t="shared" si="2"/>
        <v>22.49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6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--80.71</f>
        <v>80.709999999999994</v>
      </c>
      <c r="Q47" s="2"/>
      <c r="R47" s="19"/>
      <c r="S47" s="2"/>
      <c r="T47" s="2"/>
      <c r="U47" s="2"/>
      <c r="V47" s="19"/>
      <c r="W47" s="2"/>
      <c r="X47" s="2">
        <f t="shared" si="2"/>
        <v>80.709999999999994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6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--45.53</f>
        <v>45.53</v>
      </c>
      <c r="Q48" s="2"/>
      <c r="R48" s="19"/>
      <c r="S48" s="2"/>
      <c r="T48" s="2"/>
      <c r="U48" s="2"/>
      <c r="V48" s="19"/>
      <c r="W48" s="2"/>
      <c r="X48" s="2">
        <f t="shared" si="2"/>
        <v>45.53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6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--68.25</f>
        <v>68.25</v>
      </c>
      <c r="Q49" s="2"/>
      <c r="R49" s="19"/>
      <c r="S49" s="2"/>
      <c r="T49" s="2"/>
      <c r="U49" s="2"/>
      <c r="V49" s="19"/>
      <c r="W49" s="2"/>
      <c r="X49" s="2">
        <f t="shared" si="2"/>
        <v>68.25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--23040.7</f>
        <v>23040.7</v>
      </c>
      <c r="E50" s="2"/>
      <c r="F50" s="19"/>
      <c r="G50" s="2"/>
      <c r="H50" s="2"/>
      <c r="I50" s="2"/>
      <c r="J50" s="19"/>
      <c r="K50" s="2"/>
      <c r="L50" s="2">
        <f t="shared" si="0"/>
        <v>23040.7</v>
      </c>
      <c r="M50" s="2"/>
      <c r="N50" s="19">
        <f t="shared" si="1"/>
        <v>0</v>
      </c>
      <c r="O50" s="11"/>
      <c r="P50" s="2">
        <f>--154792.39</f>
        <v>154792.39000000001</v>
      </c>
      <c r="Q50" s="2"/>
      <c r="R50" s="19"/>
      <c r="S50" s="2"/>
      <c r="T50" s="2"/>
      <c r="U50" s="2"/>
      <c r="V50" s="19"/>
      <c r="W50" s="2"/>
      <c r="X50" s="2">
        <f t="shared" si="2"/>
        <v>154792.39000000001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--27228.57</f>
        <v>27228.57</v>
      </c>
      <c r="E51" s="2"/>
      <c r="F51" s="19"/>
      <c r="G51" s="2"/>
      <c r="H51" s="2"/>
      <c r="I51" s="2"/>
      <c r="J51" s="19"/>
      <c r="K51" s="2"/>
      <c r="L51" s="2">
        <f t="shared" si="0"/>
        <v>27228.57</v>
      </c>
      <c r="M51" s="2"/>
      <c r="N51" s="19">
        <f t="shared" si="1"/>
        <v>0</v>
      </c>
      <c r="O51" s="11"/>
      <c r="P51" s="2">
        <f>--36796.81</f>
        <v>36796.81</v>
      </c>
      <c r="Q51" s="2"/>
      <c r="R51" s="19"/>
      <c r="S51" s="2"/>
      <c r="T51" s="2"/>
      <c r="U51" s="2"/>
      <c r="V51" s="19"/>
      <c r="W51" s="2"/>
      <c r="X51" s="2">
        <f t="shared" si="2"/>
        <v>36796.81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--306.73</f>
        <v>306.73</v>
      </c>
      <c r="E52" s="2"/>
      <c r="F52" s="19"/>
      <c r="G52" s="2"/>
      <c r="H52" s="2"/>
      <c r="I52" s="2"/>
      <c r="J52" s="19"/>
      <c r="K52" s="2"/>
      <c r="L52" s="2">
        <f t="shared" si="0"/>
        <v>306.73</v>
      </c>
      <c r="M52" s="2"/>
      <c r="N52" s="19">
        <f t="shared" si="1"/>
        <v>0</v>
      </c>
      <c r="O52" s="11"/>
      <c r="P52" s="2">
        <f>--2588.1</f>
        <v>2588.1</v>
      </c>
      <c r="Q52" s="2"/>
      <c r="R52" s="19"/>
      <c r="S52" s="2"/>
      <c r="T52" s="2"/>
      <c r="U52" s="2"/>
      <c r="V52" s="19"/>
      <c r="W52" s="2"/>
      <c r="X52" s="2">
        <f t="shared" si="2"/>
        <v>2588.1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"4143", " - ", "NON-TAXABLE SALES-CARDS")</f>
        <v xml:space="preserve">          4143 - NON-TAXABLE SALES-CARDS</v>
      </c>
      <c r="C53" s="11"/>
      <c r="D53" s="2">
        <f>--49.97</f>
        <v>49.97</v>
      </c>
      <c r="E53" s="2"/>
      <c r="F53" s="19"/>
      <c r="G53" s="2"/>
      <c r="H53" s="2"/>
      <c r="I53" s="2"/>
      <c r="J53" s="19"/>
      <c r="K53" s="2"/>
      <c r="L53" s="2">
        <f t="shared" si="0"/>
        <v>49.97</v>
      </c>
      <c r="M53" s="2"/>
      <c r="N53" s="19">
        <f t="shared" si="1"/>
        <v>0</v>
      </c>
      <c r="O53" s="11"/>
      <c r="P53" s="2">
        <f>--2431.45</f>
        <v>2431.4499999999998</v>
      </c>
      <c r="Q53" s="2"/>
      <c r="R53" s="19"/>
      <c r="S53" s="2"/>
      <c r="T53" s="2"/>
      <c r="U53" s="2"/>
      <c r="V53" s="19"/>
      <c r="W53" s="2"/>
      <c r="X53" s="2">
        <f t="shared" si="2"/>
        <v>2431.4499999999998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--29.85</f>
        <v>29.85</v>
      </c>
      <c r="E54" s="2"/>
      <c r="F54" s="19"/>
      <c r="G54" s="2"/>
      <c r="H54" s="2"/>
      <c r="I54" s="2"/>
      <c r="J54" s="19"/>
      <c r="K54" s="2"/>
      <c r="L54" s="2">
        <f t="shared" si="0"/>
        <v>29.85</v>
      </c>
      <c r="M54" s="2"/>
      <c r="N54" s="19">
        <f t="shared" si="1"/>
        <v>0</v>
      </c>
      <c r="O54" s="11"/>
      <c r="P54" s="2">
        <f>--709.1</f>
        <v>709.1</v>
      </c>
      <c r="Q54" s="2"/>
      <c r="R54" s="19"/>
      <c r="S54" s="2"/>
      <c r="T54" s="2"/>
      <c r="U54" s="2"/>
      <c r="V54" s="19"/>
      <c r="W54" s="2"/>
      <c r="X54" s="2">
        <f t="shared" si="2"/>
        <v>709.1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--20350.8</f>
        <v>20350.8</v>
      </c>
      <c r="E55" s="2"/>
      <c r="F55" s="19"/>
      <c r="G55" s="2"/>
      <c r="H55" s="2"/>
      <c r="I55" s="2"/>
      <c r="J55" s="19"/>
      <c r="K55" s="2"/>
      <c r="L55" s="2">
        <f t="shared" si="0"/>
        <v>20350.8</v>
      </c>
      <c r="M55" s="2"/>
      <c r="N55" s="19">
        <f t="shared" si="1"/>
        <v>0</v>
      </c>
      <c r="O55" s="11"/>
      <c r="P55" s="2">
        <f>--74066.89</f>
        <v>74066.89</v>
      </c>
      <c r="Q55" s="2"/>
      <c r="R55" s="19"/>
      <c r="S55" s="2"/>
      <c r="T55" s="2"/>
      <c r="U55" s="2"/>
      <c r="V55" s="19"/>
      <c r="W55" s="2"/>
      <c r="X55" s="2">
        <f t="shared" si="2"/>
        <v>74066.89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--30.2</f>
        <v>30.2</v>
      </c>
      <c r="E56" s="2"/>
      <c r="F56" s="19"/>
      <c r="G56" s="2"/>
      <c r="H56" s="2"/>
      <c r="I56" s="2"/>
      <c r="J56" s="19"/>
      <c r="K56" s="2"/>
      <c r="L56" s="2">
        <f t="shared" si="0"/>
        <v>30.2</v>
      </c>
      <c r="M56" s="2"/>
      <c r="N56" s="19">
        <f t="shared" si="1"/>
        <v>0</v>
      </c>
      <c r="O56" s="11"/>
      <c r="P56" s="2">
        <f>--329.3</f>
        <v>329.3</v>
      </c>
      <c r="Q56" s="2"/>
      <c r="R56" s="19"/>
      <c r="S56" s="2"/>
      <c r="T56" s="2"/>
      <c r="U56" s="2"/>
      <c r="V56" s="19"/>
      <c r="W56" s="2"/>
      <c r="X56" s="2">
        <f t="shared" si="2"/>
        <v>329.3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"4147", " - ", "NON-TAXABLE SALES-MISC")</f>
        <v xml:space="preserve">          4147 - NON-TAXABLE SALES-MISC</v>
      </c>
      <c r="C57" s="11"/>
      <c r="D57" s="2">
        <f>--11</f>
        <v>11</v>
      </c>
      <c r="E57" s="2"/>
      <c r="F57" s="19"/>
      <c r="G57" s="2"/>
      <c r="H57" s="2"/>
      <c r="I57" s="2"/>
      <c r="J57" s="19"/>
      <c r="K57" s="2"/>
      <c r="L57" s="2">
        <f t="shared" si="0"/>
        <v>11</v>
      </c>
      <c r="M57" s="2"/>
      <c r="N57" s="19">
        <f t="shared" si="1"/>
        <v>0</v>
      </c>
      <c r="O57" s="11"/>
      <c r="P57" s="2">
        <f>--154.5</f>
        <v>154.5</v>
      </c>
      <c r="Q57" s="2"/>
      <c r="R57" s="19"/>
      <c r="S57" s="2"/>
      <c r="T57" s="2"/>
      <c r="U57" s="2"/>
      <c r="V57" s="19"/>
      <c r="W57" s="2"/>
      <c r="X57" s="2">
        <f t="shared" si="2"/>
        <v>154.5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>-376.85</f>
        <v>-376.85</v>
      </c>
      <c r="E58" s="2"/>
      <c r="F58" s="19"/>
      <c r="G58" s="2"/>
      <c r="H58" s="2"/>
      <c r="I58" s="2"/>
      <c r="J58" s="19"/>
      <c r="K58" s="2"/>
      <c r="L58" s="2">
        <f t="shared" si="0"/>
        <v>-376.85</v>
      </c>
      <c r="M58" s="2"/>
      <c r="N58" s="19">
        <f t="shared" si="1"/>
        <v>0</v>
      </c>
      <c r="O58" s="11"/>
      <c r="P58" s="2">
        <f>-51638.02</f>
        <v>-51638.02</v>
      </c>
      <c r="Q58" s="2"/>
      <c r="R58" s="19"/>
      <c r="S58" s="2"/>
      <c r="T58" s="2"/>
      <c r="U58" s="2"/>
      <c r="V58" s="19"/>
      <c r="W58" s="2"/>
      <c r="X58" s="2">
        <f t="shared" si="2"/>
        <v>-51638.02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>-206.95</f>
        <v>-206.95</v>
      </c>
      <c r="E59" s="2"/>
      <c r="F59" s="19"/>
      <c r="G59" s="2"/>
      <c r="H59" s="2"/>
      <c r="I59" s="2"/>
      <c r="J59" s="19"/>
      <c r="K59" s="2"/>
      <c r="L59" s="2">
        <f t="shared" si="0"/>
        <v>-206.95</v>
      </c>
      <c r="M59" s="2"/>
      <c r="N59" s="19">
        <f t="shared" si="1"/>
        <v>0</v>
      </c>
      <c r="O59" s="11"/>
      <c r="P59" s="2">
        <f>-20096.26</f>
        <v>-20096.259999999998</v>
      </c>
      <c r="Q59" s="2"/>
      <c r="R59" s="19"/>
      <c r="S59" s="2"/>
      <c r="T59" s="2"/>
      <c r="U59" s="2"/>
      <c r="V59" s="19"/>
      <c r="W59" s="2"/>
      <c r="X59" s="2">
        <f t="shared" si="2"/>
        <v>-20096.259999999998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 t="shared" ref="D60:D63" si="7"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-1763.1</f>
        <v>-1763.1</v>
      </c>
      <c r="Q60" s="2"/>
      <c r="R60" s="19"/>
      <c r="S60" s="2"/>
      <c r="T60" s="2"/>
      <c r="U60" s="2"/>
      <c r="V60" s="19"/>
      <c r="W60" s="2"/>
      <c r="X60" s="2">
        <f t="shared" si="2"/>
        <v>-1763.1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"4213", " - ", "NON-TAXABLE SALES-TRADE BOOKS")</f>
        <v xml:space="preserve">          4213 - NON-TAXABLE SALES-TRADE BOOKS</v>
      </c>
      <c r="C61" s="11"/>
      <c r="D61" s="2">
        <f t="shared" si="7"/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-69.93</f>
        <v>-69.930000000000007</v>
      </c>
      <c r="Q61" s="2"/>
      <c r="R61" s="19"/>
      <c r="S61" s="2"/>
      <c r="T61" s="2"/>
      <c r="U61" s="2"/>
      <c r="V61" s="19"/>
      <c r="W61" s="2"/>
      <c r="X61" s="2">
        <f t="shared" si="2"/>
        <v>-69.930000000000007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"4218", " - ", "SALES RETURN TAXABLE-STUDY GUI")</f>
        <v xml:space="preserve">          4218 - SALES RETURN TAXABLE-STUDY GUI</v>
      </c>
      <c r="C62" s="11"/>
      <c r="D62" s="2">
        <f t="shared" si="7"/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-5.21</f>
        <v>-5.21</v>
      </c>
      <c r="Q62" s="2"/>
      <c r="R62" s="19"/>
      <c r="S62" s="2"/>
      <c r="T62" s="2"/>
      <c r="U62" s="2"/>
      <c r="V62" s="19"/>
      <c r="W62" s="2"/>
      <c r="X62" s="2">
        <f t="shared" si="2"/>
        <v>-5.21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"4226", " - ", "SALES RETURN TAXABLE-WRITING I")</f>
        <v xml:space="preserve">          4226 - SALES RETURN TAXABLE-WRITING I</v>
      </c>
      <c r="C63" s="11"/>
      <c r="D63" s="2">
        <f t="shared" si="7"/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-34.23</f>
        <v>-34.229999999999997</v>
      </c>
      <c r="Q63" s="2"/>
      <c r="R63" s="19"/>
      <c r="S63" s="2"/>
      <c r="T63" s="2"/>
      <c r="U63" s="2"/>
      <c r="V63" s="19"/>
      <c r="W63" s="2"/>
      <c r="X63" s="2">
        <f t="shared" si="2"/>
        <v>-34.229999999999997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"4227", " - ", "SALES RETURN TAXABLE-SCHOOL SU")</f>
        <v xml:space="preserve">          4227 - SALES RETURN TAXABLE-SCHOOL SU</v>
      </c>
      <c r="C64" s="11"/>
      <c r="D64" s="2">
        <f>-500.54</f>
        <v>-500.54</v>
      </c>
      <c r="E64" s="2"/>
      <c r="F64" s="19"/>
      <c r="G64" s="2"/>
      <c r="H64" s="2"/>
      <c r="I64" s="2"/>
      <c r="J64" s="19"/>
      <c r="K64" s="2"/>
      <c r="L64" s="2">
        <f t="shared" si="0"/>
        <v>-500.54</v>
      </c>
      <c r="M64" s="2"/>
      <c r="N64" s="19">
        <f t="shared" si="1"/>
        <v>0</v>
      </c>
      <c r="O64" s="11"/>
      <c r="P64" s="2">
        <f>-1346.66</f>
        <v>-1346.66</v>
      </c>
      <c r="Q64" s="2"/>
      <c r="R64" s="19"/>
      <c r="S64" s="2"/>
      <c r="T64" s="2"/>
      <c r="U64" s="2"/>
      <c r="V64" s="19"/>
      <c r="W64" s="2"/>
      <c r="X64" s="2">
        <f t="shared" si="2"/>
        <v>-1346.66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"4228", " - ", "SALES RETURN TAXABLE-ART/TECH")</f>
        <v xml:space="preserve">          4228 - SALES RETURN TAXABLE-ART/TECH</v>
      </c>
      <c r="C65" s="11"/>
      <c r="D65" s="2">
        <f>-136.11</f>
        <v>-136.11000000000001</v>
      </c>
      <c r="E65" s="2"/>
      <c r="F65" s="19"/>
      <c r="G65" s="2"/>
      <c r="H65" s="2"/>
      <c r="I65" s="2"/>
      <c r="J65" s="19"/>
      <c r="K65" s="2"/>
      <c r="L65" s="2">
        <f t="shared" si="0"/>
        <v>-136.11000000000001</v>
      </c>
      <c r="M65" s="2"/>
      <c r="N65" s="19">
        <f t="shared" si="1"/>
        <v>0</v>
      </c>
      <c r="O65" s="11"/>
      <c r="P65" s="2">
        <f>-12973.73</f>
        <v>-12973.73</v>
      </c>
      <c r="Q65" s="2"/>
      <c r="R65" s="19"/>
      <c r="S65" s="2"/>
      <c r="T65" s="2"/>
      <c r="U65" s="2"/>
      <c r="V65" s="19"/>
      <c r="W65" s="2"/>
      <c r="X65" s="2">
        <f t="shared" si="2"/>
        <v>-12973.73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"4240", " - ", "SALES RETURN TAXABLE-LOGO CLOT")</f>
        <v xml:space="preserve">          4240 - SALES RETURN TAXABLE-LOGO CLOT</v>
      </c>
      <c r="C66" s="11"/>
      <c r="D66" s="2">
        <f>-5611.92</f>
        <v>-5611.92</v>
      </c>
      <c r="E66" s="2"/>
      <c r="F66" s="19"/>
      <c r="G66" s="2"/>
      <c r="H66" s="2"/>
      <c r="I66" s="2"/>
      <c r="J66" s="19"/>
      <c r="K66" s="2"/>
      <c r="L66" s="2">
        <f t="shared" si="0"/>
        <v>-5611.92</v>
      </c>
      <c r="M66" s="2"/>
      <c r="N66" s="19">
        <f t="shared" si="1"/>
        <v>0</v>
      </c>
      <c r="O66" s="11"/>
      <c r="P66" s="2">
        <f>-40666.27</f>
        <v>-40666.269999999997</v>
      </c>
      <c r="Q66" s="2"/>
      <c r="R66" s="19"/>
      <c r="S66" s="2"/>
      <c r="T66" s="2"/>
      <c r="U66" s="2"/>
      <c r="V66" s="19"/>
      <c r="W66" s="2"/>
      <c r="X66" s="2">
        <f t="shared" si="2"/>
        <v>-40666.269999999997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"4241", " - ", "SALES RETURN TAXABLE-LOGO GIFT")</f>
        <v xml:space="preserve">          4241 - SALES RETURN TAXABLE-LOGO GIFT</v>
      </c>
      <c r="C67" s="11"/>
      <c r="D67" s="2">
        <f>-5656.91</f>
        <v>-5656.91</v>
      </c>
      <c r="E67" s="2"/>
      <c r="F67" s="19"/>
      <c r="G67" s="2"/>
      <c r="H67" s="2"/>
      <c r="I67" s="2"/>
      <c r="J67" s="19"/>
      <c r="K67" s="2"/>
      <c r="L67" s="2">
        <f t="shared" si="0"/>
        <v>-5656.91</v>
      </c>
      <c r="M67" s="2"/>
      <c r="N67" s="19">
        <f t="shared" si="1"/>
        <v>0</v>
      </c>
      <c r="O67" s="11"/>
      <c r="P67" s="2">
        <f>-12175.25</f>
        <v>-12175.25</v>
      </c>
      <c r="Q67" s="2"/>
      <c r="R67" s="19"/>
      <c r="S67" s="2"/>
      <c r="T67" s="2"/>
      <c r="U67" s="2"/>
      <c r="V67" s="19"/>
      <c r="W67" s="2"/>
      <c r="X67" s="2">
        <f t="shared" si="2"/>
        <v>-12175.25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"4242", " - ", "SALES RETURN TAXABLE-EVERYDAY")</f>
        <v xml:space="preserve">          4242 - SALES RETURN TAXABLE-EVERYDAY</v>
      </c>
      <c r="C68" s="11"/>
      <c r="D68" s="2">
        <f>-332.27</f>
        <v>-332.27</v>
      </c>
      <c r="E68" s="2"/>
      <c r="F68" s="19"/>
      <c r="G68" s="2"/>
      <c r="H68" s="2"/>
      <c r="I68" s="2"/>
      <c r="J68" s="19"/>
      <c r="K68" s="2"/>
      <c r="L68" s="2">
        <f t="shared" si="0"/>
        <v>-332.27</v>
      </c>
      <c r="M68" s="2"/>
      <c r="N68" s="19">
        <f t="shared" si="1"/>
        <v>0</v>
      </c>
      <c r="O68" s="11"/>
      <c r="P68" s="2">
        <f>-2636.09</f>
        <v>-2636.09</v>
      </c>
      <c r="Q68" s="2"/>
      <c r="R68" s="19"/>
      <c r="S68" s="2"/>
      <c r="T68" s="2"/>
      <c r="U68" s="2"/>
      <c r="V68" s="19"/>
      <c r="W68" s="2"/>
      <c r="X68" s="2">
        <f t="shared" si="2"/>
        <v>-2636.09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"4243", " - ", "SALES RETURN TAXABLE-CARDS")</f>
        <v xml:space="preserve">          4243 - SALES RETURN TAXABLE-CARDS</v>
      </c>
      <c r="C69" s="11"/>
      <c r="D69" s="2">
        <f>-199.86</f>
        <v>-199.86</v>
      </c>
      <c r="E69" s="2"/>
      <c r="F69" s="19"/>
      <c r="G69" s="2"/>
      <c r="H69" s="2"/>
      <c r="I69" s="2"/>
      <c r="J69" s="19"/>
      <c r="K69" s="2"/>
      <c r="L69" s="2">
        <f t="shared" si="0"/>
        <v>-199.86</v>
      </c>
      <c r="M69" s="2"/>
      <c r="N69" s="19">
        <f t="shared" si="1"/>
        <v>0</v>
      </c>
      <c r="O69" s="11"/>
      <c r="P69" s="2">
        <f>-6142.09</f>
        <v>-6142.09</v>
      </c>
      <c r="Q69" s="2"/>
      <c r="R69" s="19"/>
      <c r="S69" s="2"/>
      <c r="T69" s="2"/>
      <c r="U69" s="2"/>
      <c r="V69" s="19"/>
      <c r="W69" s="2"/>
      <c r="X69" s="2">
        <f t="shared" si="2"/>
        <v>-6142.09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"4244", " - ", "SALES RETURN TAXABLE-ACCESSORI")</f>
        <v xml:space="preserve">          4244 - SALES RETURN TAXABLE-ACCESSORI</v>
      </c>
      <c r="C70" s="11"/>
      <c r="D70" s="2">
        <f>-8.24</f>
        <v>-8.24</v>
      </c>
      <c r="E70" s="2"/>
      <c r="F70" s="19"/>
      <c r="G70" s="2"/>
      <c r="H70" s="2"/>
      <c r="I70" s="2"/>
      <c r="J70" s="19"/>
      <c r="K70" s="2"/>
      <c r="L70" s="2">
        <f t="shared" si="0"/>
        <v>-8.24</v>
      </c>
      <c r="M70" s="2"/>
      <c r="N70" s="19">
        <f t="shared" si="1"/>
        <v>0</v>
      </c>
      <c r="O70" s="11"/>
      <c r="P70" s="2">
        <f>-1243.5</f>
        <v>-1243.5</v>
      </c>
      <c r="Q70" s="2"/>
      <c r="R70" s="19"/>
      <c r="S70" s="2"/>
      <c r="T70" s="2"/>
      <c r="U70" s="2"/>
      <c r="V70" s="19"/>
      <c r="W70" s="2"/>
      <c r="X70" s="2">
        <f t="shared" si="2"/>
        <v>-1243.5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"4245", " - ", "SALES RETURN TAXABLE-SPECIAL O")</f>
        <v xml:space="preserve">          4245 - SALES RETURN TAXABLE-SPECIAL O</v>
      </c>
      <c r="C71" s="11"/>
      <c r="D71" s="2">
        <f>-4071.14</f>
        <v>-4071.14</v>
      </c>
      <c r="E71" s="2"/>
      <c r="F71" s="19"/>
      <c r="G71" s="2"/>
      <c r="H71" s="2"/>
      <c r="I71" s="2"/>
      <c r="J71" s="19"/>
      <c r="K71" s="2"/>
      <c r="L71" s="2">
        <f t="shared" si="0"/>
        <v>-4071.14</v>
      </c>
      <c r="M71" s="2"/>
      <c r="N71" s="19">
        <f t="shared" si="1"/>
        <v>0</v>
      </c>
      <c r="O71" s="11"/>
      <c r="P71" s="2">
        <f>-15424.73</f>
        <v>-15424.73</v>
      </c>
      <c r="Q71" s="2"/>
      <c r="R71" s="19"/>
      <c r="S71" s="2"/>
      <c r="T71" s="2"/>
      <c r="U71" s="2"/>
      <c r="V71" s="19"/>
      <c r="W71" s="2"/>
      <c r="X71" s="2">
        <f t="shared" si="2"/>
        <v>-15424.73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"4301", " - ", "SALES RETURN NON TAXABLE-NEW T")</f>
        <v xml:space="preserve">          4301 - SALES RETURN NON TAXABLE-NEW T</v>
      </c>
      <c r="C72" s="11"/>
      <c r="D72" s="2">
        <f>-225.91</f>
        <v>-225.91</v>
      </c>
      <c r="E72" s="2"/>
      <c r="F72" s="19"/>
      <c r="G72" s="2"/>
      <c r="H72" s="2"/>
      <c r="I72" s="2"/>
      <c r="J72" s="19"/>
      <c r="K72" s="2"/>
      <c r="L72" s="2">
        <f t="shared" si="0"/>
        <v>-225.91</v>
      </c>
      <c r="M72" s="2"/>
      <c r="N72" s="19">
        <f t="shared" si="1"/>
        <v>0</v>
      </c>
      <c r="O72" s="11"/>
      <c r="P72" s="2">
        <f>-3463.2</f>
        <v>-3463.2</v>
      </c>
      <c r="Q72" s="2"/>
      <c r="R72" s="19"/>
      <c r="S72" s="2"/>
      <c r="T72" s="2"/>
      <c r="U72" s="2"/>
      <c r="V72" s="19"/>
      <c r="W72" s="2"/>
      <c r="X72" s="2">
        <f t="shared" si="2"/>
        <v>-3463.2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"4302", " - ", "SALES RETURN NON TAXABLE-TEXT")</f>
        <v xml:space="preserve">          4302 - SALES RETURN NON TAXABLE-TEXT</v>
      </c>
      <c r="C73" s="11"/>
      <c r="D73" s="2">
        <f>-98.97</f>
        <v>-98.97</v>
      </c>
      <c r="E73" s="2"/>
      <c r="F73" s="19"/>
      <c r="G73" s="2"/>
      <c r="H73" s="2"/>
      <c r="I73" s="2"/>
      <c r="J73" s="19"/>
      <c r="K73" s="2"/>
      <c r="L73" s="2">
        <f t="shared" si="0"/>
        <v>-98.97</v>
      </c>
      <c r="M73" s="2"/>
      <c r="N73" s="19">
        <f t="shared" si="1"/>
        <v>0</v>
      </c>
      <c r="O73" s="11"/>
      <c r="P73" s="2">
        <f>-2443.32</f>
        <v>-2443.3200000000002</v>
      </c>
      <c r="Q73" s="2"/>
      <c r="R73" s="19"/>
      <c r="S73" s="2"/>
      <c r="T73" s="2"/>
      <c r="U73" s="2"/>
      <c r="V73" s="19"/>
      <c r="W73" s="2"/>
      <c r="X73" s="2">
        <f t="shared" si="2"/>
        <v>-2443.3200000000002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"4304", " - ", "SALES RETURN NON TAXABLE-DIGIT")</f>
        <v xml:space="preserve">          4304 - SALES RETURN NON TAXABLE-DIGIT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-27543.76</f>
        <v>-27543.759999999998</v>
      </c>
      <c r="Q74" s="2"/>
      <c r="R74" s="19"/>
      <c r="S74" s="2"/>
      <c r="T74" s="2"/>
      <c r="U74" s="2"/>
      <c r="V74" s="19"/>
      <c r="W74" s="2"/>
      <c r="X74" s="2">
        <f t="shared" si="2"/>
        <v>-27543.759999999998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"4340", " - ", "SALES RETURN NON TAXABLE-LOGO")</f>
        <v xml:space="preserve">          4340 - SALES RETURN NON TAXABLE-LOGO</v>
      </c>
      <c r="C75" s="11"/>
      <c r="D75" s="2">
        <f>-664.13</f>
        <v>-664.13</v>
      </c>
      <c r="E75" s="2"/>
      <c r="F75" s="19"/>
      <c r="G75" s="2"/>
      <c r="H75" s="2"/>
      <c r="I75" s="2"/>
      <c r="J75" s="19"/>
      <c r="K75" s="2"/>
      <c r="L75" s="2">
        <f t="shared" si="0"/>
        <v>-664.13</v>
      </c>
      <c r="M75" s="2"/>
      <c r="N75" s="19">
        <f t="shared" si="1"/>
        <v>0</v>
      </c>
      <c r="O75" s="11"/>
      <c r="P75" s="2">
        <f>-3307.52</f>
        <v>-3307.52</v>
      </c>
      <c r="Q75" s="2"/>
      <c r="R75" s="19"/>
      <c r="S75" s="2"/>
      <c r="T75" s="2"/>
      <c r="U75" s="2"/>
      <c r="V75" s="19"/>
      <c r="W75" s="2"/>
      <c r="X75" s="2">
        <f t="shared" si="2"/>
        <v>-3307.52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"4341", " - ", "SALES RETURN NON TAXABLE-LOGO")</f>
        <v xml:space="preserve">          4341 - SALES RETURN NON TAXABLE-LOGO</v>
      </c>
      <c r="C76" s="11"/>
      <c r="D76" s="2">
        <f>-9.9</f>
        <v>-9.9</v>
      </c>
      <c r="E76" s="2"/>
      <c r="F76" s="19"/>
      <c r="G76" s="2"/>
      <c r="H76" s="2"/>
      <c r="I76" s="2"/>
      <c r="J76" s="19"/>
      <c r="K76" s="2"/>
      <c r="L76" s="2">
        <f t="shared" si="0"/>
        <v>-9.9</v>
      </c>
      <c r="M76" s="2"/>
      <c r="N76" s="19">
        <f t="shared" si="1"/>
        <v>0</v>
      </c>
      <c r="O76" s="11"/>
      <c r="P76" s="2">
        <f>-402.44</f>
        <v>-402.44</v>
      </c>
      <c r="Q76" s="2"/>
      <c r="R76" s="19"/>
      <c r="S76" s="2"/>
      <c r="T76" s="2"/>
      <c r="U76" s="2"/>
      <c r="V76" s="19"/>
      <c r="W76" s="2"/>
      <c r="X76" s="2">
        <f t="shared" si="2"/>
        <v>-402.44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"4342", " - ", "SALES RETURN NON TAXABLE-EVERY")</f>
        <v xml:space="preserve">          4342 - SALES RETURN NON TAXABLE-EVERY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-118.7</f>
        <v>-118.7</v>
      </c>
      <c r="Q77" s="2"/>
      <c r="R77" s="19"/>
      <c r="S77" s="2"/>
      <c r="T77" s="2"/>
      <c r="U77" s="2"/>
      <c r="V77" s="19"/>
      <c r="W77" s="2"/>
      <c r="X77" s="2">
        <f t="shared" si="2"/>
        <v>-118.7</v>
      </c>
      <c r="Y77" s="2"/>
      <c r="Z77" s="19">
        <f t="shared" si="3"/>
        <v>0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collapsed="1" x14ac:dyDescent="0.25">
      <c r="A79" s="10"/>
      <c r="B79" s="29" t="s">
        <v>257</v>
      </c>
      <c r="C79" s="10"/>
      <c r="D79" s="4">
        <f>SUM(OSRRefD16x_0)</f>
        <v>223181.99</v>
      </c>
      <c r="E79" s="4"/>
      <c r="F79" s="12">
        <f t="shared" ref="F79:F118" si="8">IF(D$12=0,0,D79/D$12)</f>
        <v>0.50900613299255137</v>
      </c>
      <c r="G79" s="4"/>
      <c r="H79" s="4">
        <f>SUM(OSRRefH16x_0)</f>
        <v>203991</v>
      </c>
      <c r="I79" s="4"/>
      <c r="J79" s="12">
        <f t="shared" ref="J79:J118" si="9">IF(H$12=0,0,H79/H$12)</f>
        <v>0.43048790782087537</v>
      </c>
      <c r="K79" s="4"/>
      <c r="L79" s="4">
        <f t="shared" ref="L79:L118" si="10">+D79-H79</f>
        <v>19190.989999999991</v>
      </c>
      <c r="M79" s="4"/>
      <c r="N79" s="12">
        <f t="shared" ref="N79:N118" si="11">IF(H79=0,0,L79/H79)</f>
        <v>9.4077630875871926E-2</v>
      </c>
      <c r="O79" s="10"/>
      <c r="P79" s="4">
        <f>SUM(OSRRefP16x_0)</f>
        <v>2944157.7500000005</v>
      </c>
      <c r="Q79" s="4"/>
      <c r="R79" s="12">
        <f t="shared" ref="R79:R118" si="12">IF(P$12=0,0,P79/P$12)</f>
        <v>0.62606495779342586</v>
      </c>
      <c r="S79" s="4"/>
      <c r="T79" s="4">
        <f>SUM(OSRRefT16x_0)</f>
        <v>4784813</v>
      </c>
      <c r="U79" s="4"/>
      <c r="V79" s="12">
        <f t="shared" ref="V79:V118" si="13">IF(T$12=0,0,T79/T$12)</f>
        <v>0.58402615660617374</v>
      </c>
      <c r="W79" s="4"/>
      <c r="X79" s="4">
        <f t="shared" ref="X79:X118" si="14">+P79-T79</f>
        <v>-1840655.2499999995</v>
      </c>
      <c r="Y79" s="4"/>
      <c r="Z79" s="12">
        <f t="shared" ref="Z79:Z118" si="15">IF(T79=0,0,X79/T79)</f>
        <v>-0.38468697731760876</v>
      </c>
    </row>
    <row r="80" spans="1:26" s="24" customFormat="1" hidden="1" outlineLevel="1" x14ac:dyDescent="0.25">
      <c r="A80" s="44"/>
      <c r="B80" s="11" t="str">
        <f>CONCATENATE("          ", "5000", " - ", "PURCHASES @ COST")</f>
        <v xml:space="preserve">          5000 - PURCHASES @ COST</v>
      </c>
      <c r="C80" s="11"/>
      <c r="D80" s="2"/>
      <c r="E80" s="2"/>
      <c r="F80" s="19">
        <f t="shared" si="8"/>
        <v>0</v>
      </c>
      <c r="G80" s="2"/>
      <c r="H80" s="2">
        <v>203991</v>
      </c>
      <c r="I80" s="2"/>
      <c r="J80" s="19">
        <f t="shared" si="9"/>
        <v>0.43048790782087537</v>
      </c>
      <c r="K80" s="2"/>
      <c r="L80" s="2">
        <f t="shared" si="10"/>
        <v>-203991</v>
      </c>
      <c r="M80" s="2"/>
      <c r="N80" s="19">
        <f t="shared" si="11"/>
        <v>-1</v>
      </c>
      <c r="O80" s="11"/>
      <c r="P80" s="2">
        <v>0</v>
      </c>
      <c r="Q80" s="2"/>
      <c r="R80" s="19">
        <f t="shared" si="12"/>
        <v>0</v>
      </c>
      <c r="S80" s="2"/>
      <c r="T80" s="2">
        <v>4784813</v>
      </c>
      <c r="U80" s="2"/>
      <c r="V80" s="19">
        <f t="shared" si="13"/>
        <v>0.58402615660617374</v>
      </c>
      <c r="W80" s="2"/>
      <c r="X80" s="2">
        <f t="shared" si="14"/>
        <v>-4784813</v>
      </c>
      <c r="Y80" s="2"/>
      <c r="Z80" s="19">
        <f t="shared" si="15"/>
        <v>-1</v>
      </c>
    </row>
    <row r="81" spans="1:26" s="24" customFormat="1" hidden="1" outlineLevel="1" x14ac:dyDescent="0.25">
      <c r="A81" s="44"/>
      <c r="B81" s="11" t="str">
        <f>CONCATENATE("          ", "5001", " - ", "PURCHASES @ COST-NEW TEXT")</f>
        <v xml:space="preserve">          5001 - PURCHASES @ COST-NEW TEXT</v>
      </c>
      <c r="C81" s="11"/>
      <c r="D81" s="2">
        <v>-28969.93</v>
      </c>
      <c r="E81" s="2"/>
      <c r="F81" s="19">
        <f t="shared" si="8"/>
        <v>-6.6071066228797867E-2</v>
      </c>
      <c r="G81" s="2"/>
      <c r="H81" s="2"/>
      <c r="I81" s="2"/>
      <c r="J81" s="19">
        <f t="shared" si="9"/>
        <v>0</v>
      </c>
      <c r="K81" s="2"/>
      <c r="L81" s="2">
        <f t="shared" si="10"/>
        <v>-28969.93</v>
      </c>
      <c r="M81" s="2"/>
      <c r="N81" s="19">
        <f t="shared" si="11"/>
        <v>0</v>
      </c>
      <c r="O81" s="11"/>
      <c r="P81" s="2">
        <v>1006546.47</v>
      </c>
      <c r="Q81" s="2"/>
      <c r="R81" s="19">
        <f t="shared" si="12"/>
        <v>0.21403862386710482</v>
      </c>
      <c r="S81" s="2"/>
      <c r="T81" s="2"/>
      <c r="U81" s="2"/>
      <c r="V81" s="19">
        <f t="shared" si="13"/>
        <v>0</v>
      </c>
      <c r="W81" s="2"/>
      <c r="X81" s="2">
        <f t="shared" si="14"/>
        <v>1006546.47</v>
      </c>
      <c r="Y81" s="2"/>
      <c r="Z81" s="19">
        <f t="shared" si="15"/>
        <v>0</v>
      </c>
    </row>
    <row r="82" spans="1:26" s="24" customFormat="1" hidden="1" outlineLevel="1" x14ac:dyDescent="0.25">
      <c r="A82" s="44"/>
      <c r="B82" s="11" t="str">
        <f>CONCATENATE("          ", "5002", " - ", "PURCHASES @ COST-USED TEXT")</f>
        <v xml:space="preserve">          5002 - PURCHASES @ COST-USED TEXT</v>
      </c>
      <c r="C82" s="11"/>
      <c r="D82" s="2">
        <v>-122091.65</v>
      </c>
      <c r="E82" s="2"/>
      <c r="F82" s="19">
        <f t="shared" si="8"/>
        <v>-0.27845167361927381</v>
      </c>
      <c r="G82" s="2"/>
      <c r="H82" s="2"/>
      <c r="I82" s="2"/>
      <c r="J82" s="19">
        <f t="shared" si="9"/>
        <v>0</v>
      </c>
      <c r="K82" s="2"/>
      <c r="L82" s="2">
        <f t="shared" si="10"/>
        <v>-122091.65</v>
      </c>
      <c r="M82" s="2"/>
      <c r="N82" s="19">
        <f t="shared" si="11"/>
        <v>0</v>
      </c>
      <c r="O82" s="11"/>
      <c r="P82" s="2">
        <v>274961.02</v>
      </c>
      <c r="Q82" s="2"/>
      <c r="R82" s="19">
        <f t="shared" si="12"/>
        <v>5.8469509448376977E-2</v>
      </c>
      <c r="S82" s="2"/>
      <c r="T82" s="2"/>
      <c r="U82" s="2"/>
      <c r="V82" s="19">
        <f t="shared" si="13"/>
        <v>0</v>
      </c>
      <c r="W82" s="2"/>
      <c r="X82" s="2">
        <f t="shared" si="14"/>
        <v>274961.02</v>
      </c>
      <c r="Y82" s="2"/>
      <c r="Z82" s="19">
        <f t="shared" si="15"/>
        <v>0</v>
      </c>
    </row>
    <row r="83" spans="1:26" s="24" customFormat="1" hidden="1" outlineLevel="1" x14ac:dyDescent="0.25">
      <c r="A83" s="44"/>
      <c r="B83" s="11" t="str">
        <f>CONCATENATE("          ", "5003", " - ", "PURCHASES @ COST-RENTAL TEXT")</f>
        <v xml:space="preserve">          5003 - PURCHASES @ COST-RENTAL TEXT</v>
      </c>
      <c r="C83" s="11"/>
      <c r="D83" s="2"/>
      <c r="E83" s="2"/>
      <c r="F83" s="19">
        <f t="shared" si="8"/>
        <v>0</v>
      </c>
      <c r="G83" s="2"/>
      <c r="H83" s="2"/>
      <c r="I83" s="2"/>
      <c r="J83" s="19">
        <f t="shared" si="9"/>
        <v>0</v>
      </c>
      <c r="K83" s="2"/>
      <c r="L83" s="2">
        <f t="shared" si="10"/>
        <v>0</v>
      </c>
      <c r="M83" s="2"/>
      <c r="N83" s="19">
        <f t="shared" si="11"/>
        <v>0</v>
      </c>
      <c r="O83" s="11"/>
      <c r="P83" s="2">
        <v>32.520000000000003</v>
      </c>
      <c r="Q83" s="2"/>
      <c r="R83" s="19">
        <f t="shared" si="12"/>
        <v>6.9152654702154487E-6</v>
      </c>
      <c r="S83" s="2"/>
      <c r="T83" s="2"/>
      <c r="U83" s="2"/>
      <c r="V83" s="19">
        <f t="shared" si="13"/>
        <v>0</v>
      </c>
      <c r="W83" s="2"/>
      <c r="X83" s="2">
        <f t="shared" si="14"/>
        <v>32.520000000000003</v>
      </c>
      <c r="Y83" s="2"/>
      <c r="Z83" s="19">
        <f t="shared" si="15"/>
        <v>0</v>
      </c>
    </row>
    <row r="84" spans="1:26" s="24" customFormat="1" hidden="1" outlineLevel="1" x14ac:dyDescent="0.25">
      <c r="A84" s="44"/>
      <c r="B84" s="11" t="str">
        <f>CONCATENATE("          ", "5004", " - ", "PURCHASES @ COST-DIGITAL TEXT")</f>
        <v xml:space="preserve">          5004 - PURCHASES @ COST-DIGITAL TEXT</v>
      </c>
      <c r="C84" s="11"/>
      <c r="D84" s="2">
        <v>887.88</v>
      </c>
      <c r="E84" s="2"/>
      <c r="F84" s="19">
        <f t="shared" si="8"/>
        <v>2.0249678988946487E-3</v>
      </c>
      <c r="G84" s="2"/>
      <c r="H84" s="2"/>
      <c r="I84" s="2"/>
      <c r="J84" s="19">
        <f t="shared" si="9"/>
        <v>0</v>
      </c>
      <c r="K84" s="2"/>
      <c r="L84" s="2">
        <f t="shared" si="10"/>
        <v>887.88</v>
      </c>
      <c r="M84" s="2"/>
      <c r="N84" s="19">
        <f t="shared" si="11"/>
        <v>0</v>
      </c>
      <c r="O84" s="11"/>
      <c r="P84" s="2">
        <v>207450.38</v>
      </c>
      <c r="Q84" s="2"/>
      <c r="R84" s="19">
        <f t="shared" si="12"/>
        <v>4.4113605461164621E-2</v>
      </c>
      <c r="S84" s="2"/>
      <c r="T84" s="2"/>
      <c r="U84" s="2"/>
      <c r="V84" s="19">
        <f t="shared" si="13"/>
        <v>0</v>
      </c>
      <c r="W84" s="2"/>
      <c r="X84" s="2">
        <f t="shared" si="14"/>
        <v>207450.38</v>
      </c>
      <c r="Y84" s="2"/>
      <c r="Z84" s="19">
        <f t="shared" si="15"/>
        <v>0</v>
      </c>
    </row>
    <row r="85" spans="1:26" s="24" customFormat="1" hidden="1" outlineLevel="1" x14ac:dyDescent="0.25">
      <c r="A85" s="44"/>
      <c r="B85" s="11" t="str">
        <f>CONCATENATE("          ", "5011", " - ", "PURCHASES @ COST-NO VALUE TEXT")</f>
        <v xml:space="preserve">          5011 - PURCHASES @ COST-NO VALUE TEXT</v>
      </c>
      <c r="C85" s="11"/>
      <c r="D85" s="2"/>
      <c r="E85" s="2"/>
      <c r="F85" s="19">
        <f t="shared" si="8"/>
        <v>0</v>
      </c>
      <c r="G85" s="2"/>
      <c r="H85" s="2"/>
      <c r="I85" s="2"/>
      <c r="J85" s="19">
        <f t="shared" si="9"/>
        <v>0</v>
      </c>
      <c r="K85" s="2"/>
      <c r="L85" s="2">
        <f t="shared" si="10"/>
        <v>0</v>
      </c>
      <c r="M85" s="2"/>
      <c r="N85" s="19">
        <f t="shared" si="11"/>
        <v>0</v>
      </c>
      <c r="O85" s="11"/>
      <c r="P85" s="2">
        <v>67.17</v>
      </c>
      <c r="Q85" s="2"/>
      <c r="R85" s="19">
        <f t="shared" si="12"/>
        <v>1.4283468069937627E-5</v>
      </c>
      <c r="S85" s="2"/>
      <c r="T85" s="2"/>
      <c r="U85" s="2"/>
      <c r="V85" s="19">
        <f t="shared" si="13"/>
        <v>0</v>
      </c>
      <c r="W85" s="2"/>
      <c r="X85" s="2">
        <f t="shared" si="14"/>
        <v>67.17</v>
      </c>
      <c r="Y85" s="2"/>
      <c r="Z85" s="19">
        <f t="shared" si="15"/>
        <v>0</v>
      </c>
    </row>
    <row r="86" spans="1:26" s="24" customFormat="1" hidden="1" outlineLevel="1" x14ac:dyDescent="0.25">
      <c r="A86" s="44"/>
      <c r="B86" s="11" t="str">
        <f>CONCATENATE("          ", "5013", " - ", "PURCHASES @ COST-TRADE BOOKS")</f>
        <v xml:space="preserve">          5013 - PURCHASES @ COST-TRADE BOOKS</v>
      </c>
      <c r="C86" s="11"/>
      <c r="D86" s="2">
        <v>800</v>
      </c>
      <c r="E86" s="2"/>
      <c r="F86" s="19">
        <f t="shared" si="8"/>
        <v>1.8245419641344765E-3</v>
      </c>
      <c r="G86" s="2"/>
      <c r="H86" s="2"/>
      <c r="I86" s="2"/>
      <c r="J86" s="19">
        <f t="shared" si="9"/>
        <v>0</v>
      </c>
      <c r="K86" s="2"/>
      <c r="L86" s="2">
        <f t="shared" si="10"/>
        <v>800</v>
      </c>
      <c r="M86" s="2"/>
      <c r="N86" s="19">
        <f t="shared" si="11"/>
        <v>0</v>
      </c>
      <c r="O86" s="11"/>
      <c r="P86" s="2">
        <v>9670.02</v>
      </c>
      <c r="Q86" s="2"/>
      <c r="R86" s="19">
        <f t="shared" si="12"/>
        <v>2.0562962915834189E-3</v>
      </c>
      <c r="S86" s="2"/>
      <c r="T86" s="2"/>
      <c r="U86" s="2"/>
      <c r="V86" s="19">
        <f t="shared" si="13"/>
        <v>0</v>
      </c>
      <c r="W86" s="2"/>
      <c r="X86" s="2">
        <f t="shared" si="14"/>
        <v>9670.02</v>
      </c>
      <c r="Y86" s="2"/>
      <c r="Z86" s="19">
        <f t="shared" si="15"/>
        <v>0</v>
      </c>
    </row>
    <row r="87" spans="1:26" s="24" customFormat="1" hidden="1" outlineLevel="1" x14ac:dyDescent="0.25">
      <c r="A87" s="44"/>
      <c r="B87" s="11" t="str">
        <f>CONCATENATE("          ", "5014", " - ", "PURCHASES @ COST-REMAINDERS")</f>
        <v xml:space="preserve">          5014 - PURCHASES @ COST-REMAINDERS</v>
      </c>
      <c r="C87" s="11"/>
      <c r="D87" s="2"/>
      <c r="E87" s="2"/>
      <c r="F87" s="19">
        <f t="shared" si="8"/>
        <v>0</v>
      </c>
      <c r="G87" s="2"/>
      <c r="H87" s="2"/>
      <c r="I87" s="2"/>
      <c r="J87" s="19">
        <f t="shared" si="9"/>
        <v>0</v>
      </c>
      <c r="K87" s="2"/>
      <c r="L87" s="2">
        <f t="shared" si="10"/>
        <v>0</v>
      </c>
      <c r="M87" s="2"/>
      <c r="N87" s="19">
        <f t="shared" si="11"/>
        <v>0</v>
      </c>
      <c r="O87" s="11"/>
      <c r="P87" s="2">
        <v>111.57</v>
      </c>
      <c r="Q87" s="2"/>
      <c r="R87" s="19">
        <f t="shared" si="12"/>
        <v>2.3724974431486393E-5</v>
      </c>
      <c r="S87" s="2"/>
      <c r="T87" s="2"/>
      <c r="U87" s="2"/>
      <c r="V87" s="19">
        <f t="shared" si="13"/>
        <v>0</v>
      </c>
      <c r="W87" s="2"/>
      <c r="X87" s="2">
        <f t="shared" si="14"/>
        <v>111.57</v>
      </c>
      <c r="Y87" s="2"/>
      <c r="Z87" s="19">
        <f t="shared" si="15"/>
        <v>0</v>
      </c>
    </row>
    <row r="88" spans="1:26" s="24" customFormat="1" hidden="1" outlineLevel="1" x14ac:dyDescent="0.25">
      <c r="A88" s="44"/>
      <c r="B88" s="11" t="str">
        <f>CONCATENATE("          ", "5018", " - ", "PURCHASES @ COST-STUDY GUIDES")</f>
        <v xml:space="preserve">          5018 - PURCHASES @ COST-STUDY GUIDES</v>
      </c>
      <c r="C88" s="11"/>
      <c r="D88" s="2"/>
      <c r="E88" s="2"/>
      <c r="F88" s="19">
        <f t="shared" si="8"/>
        <v>0</v>
      </c>
      <c r="G88" s="2"/>
      <c r="H88" s="2"/>
      <c r="I88" s="2"/>
      <c r="J88" s="19">
        <f t="shared" si="9"/>
        <v>0</v>
      </c>
      <c r="K88" s="2"/>
      <c r="L88" s="2">
        <f t="shared" si="10"/>
        <v>0</v>
      </c>
      <c r="M88" s="2"/>
      <c r="N88" s="19">
        <f t="shared" si="11"/>
        <v>0</v>
      </c>
      <c r="O88" s="11"/>
      <c r="P88" s="2">
        <v>967.21</v>
      </c>
      <c r="Q88" s="2"/>
      <c r="R88" s="19">
        <f t="shared" si="12"/>
        <v>2.0567385963859422E-4</v>
      </c>
      <c r="S88" s="2"/>
      <c r="T88" s="2"/>
      <c r="U88" s="2"/>
      <c r="V88" s="19">
        <f t="shared" si="13"/>
        <v>0</v>
      </c>
      <c r="W88" s="2"/>
      <c r="X88" s="2">
        <f t="shared" si="14"/>
        <v>967.21</v>
      </c>
      <c r="Y88" s="2"/>
      <c r="Z88" s="19">
        <f t="shared" si="15"/>
        <v>0</v>
      </c>
    </row>
    <row r="89" spans="1:26" s="24" customFormat="1" hidden="1" outlineLevel="1" x14ac:dyDescent="0.25">
      <c r="A89" s="44"/>
      <c r="B89" s="11" t="str">
        <f>CONCATENATE("          ", "5025", " - ", "PURCHASES @ COST-TEST FORMS")</f>
        <v xml:space="preserve">          5025 - PURCHASES @ COST-TEST FORMS</v>
      </c>
      <c r="C89" s="11"/>
      <c r="D89" s="2"/>
      <c r="E89" s="2"/>
      <c r="F89" s="19">
        <f t="shared" si="8"/>
        <v>0</v>
      </c>
      <c r="G89" s="2"/>
      <c r="H89" s="2"/>
      <c r="I89" s="2"/>
      <c r="J89" s="19">
        <f t="shared" si="9"/>
        <v>0</v>
      </c>
      <c r="K89" s="2"/>
      <c r="L89" s="2">
        <f t="shared" si="10"/>
        <v>0</v>
      </c>
      <c r="M89" s="2"/>
      <c r="N89" s="19">
        <f t="shared" si="11"/>
        <v>0</v>
      </c>
      <c r="O89" s="11"/>
      <c r="P89" s="2">
        <v>599.29</v>
      </c>
      <c r="Q89" s="2"/>
      <c r="R89" s="19">
        <f t="shared" si="12"/>
        <v>1.2743694476154415E-4</v>
      </c>
      <c r="S89" s="2"/>
      <c r="T89" s="2"/>
      <c r="U89" s="2"/>
      <c r="V89" s="19">
        <f t="shared" si="13"/>
        <v>0</v>
      </c>
      <c r="W89" s="2"/>
      <c r="X89" s="2">
        <f t="shared" si="14"/>
        <v>599.29</v>
      </c>
      <c r="Y89" s="2"/>
      <c r="Z89" s="19">
        <f t="shared" si="15"/>
        <v>0</v>
      </c>
    </row>
    <row r="90" spans="1:26" s="24" customFormat="1" hidden="1" outlineLevel="1" x14ac:dyDescent="0.25">
      <c r="A90" s="44"/>
      <c r="B90" s="11" t="str">
        <f>CONCATENATE("          ", "5026", " - ", "PURCHASES @ COST-WRITING INSTR")</f>
        <v xml:space="preserve">          5026 - PURCHASES @ COST-WRITING INSTR</v>
      </c>
      <c r="C90" s="11"/>
      <c r="D90" s="2"/>
      <c r="E90" s="2"/>
      <c r="F90" s="19">
        <f t="shared" si="8"/>
        <v>0</v>
      </c>
      <c r="G90" s="2"/>
      <c r="H90" s="2"/>
      <c r="I90" s="2"/>
      <c r="J90" s="19">
        <f t="shared" si="9"/>
        <v>0</v>
      </c>
      <c r="K90" s="2"/>
      <c r="L90" s="2">
        <f t="shared" si="10"/>
        <v>0</v>
      </c>
      <c r="M90" s="2"/>
      <c r="N90" s="19">
        <f t="shared" si="11"/>
        <v>0</v>
      </c>
      <c r="O90" s="11"/>
      <c r="P90" s="2">
        <v>584.54999999999995</v>
      </c>
      <c r="Q90" s="2"/>
      <c r="R90" s="19">
        <f t="shared" si="12"/>
        <v>1.2430253476674168E-4</v>
      </c>
      <c r="S90" s="2"/>
      <c r="T90" s="2"/>
      <c r="U90" s="2"/>
      <c r="V90" s="19">
        <f t="shared" si="13"/>
        <v>0</v>
      </c>
      <c r="W90" s="2"/>
      <c r="X90" s="2">
        <f t="shared" si="14"/>
        <v>584.54999999999995</v>
      </c>
      <c r="Y90" s="2"/>
      <c r="Z90" s="19">
        <f t="shared" si="15"/>
        <v>0</v>
      </c>
    </row>
    <row r="91" spans="1:26" s="24" customFormat="1" hidden="1" outlineLevel="1" x14ac:dyDescent="0.25">
      <c r="A91" s="44"/>
      <c r="B91" s="11" t="str">
        <f>CONCATENATE("          ", "5027", " - ", "PURCHASES @ COST-SCHOOL SUPPLI")</f>
        <v xml:space="preserve">          5027 - PURCHASES @ COST-SCHOOL SUPPLI</v>
      </c>
      <c r="C91" s="11"/>
      <c r="D91" s="2">
        <v>1838.72</v>
      </c>
      <c r="E91" s="2"/>
      <c r="F91" s="19">
        <f t="shared" si="8"/>
        <v>4.1935272503666812E-3</v>
      </c>
      <c r="G91" s="2"/>
      <c r="H91" s="2"/>
      <c r="I91" s="2"/>
      <c r="J91" s="19">
        <f t="shared" si="9"/>
        <v>0</v>
      </c>
      <c r="K91" s="2"/>
      <c r="L91" s="2">
        <f t="shared" si="10"/>
        <v>1838.72</v>
      </c>
      <c r="M91" s="2"/>
      <c r="N91" s="19">
        <f t="shared" si="11"/>
        <v>0</v>
      </c>
      <c r="O91" s="11"/>
      <c r="P91" s="2">
        <v>23734.6</v>
      </c>
      <c r="Q91" s="2"/>
      <c r="R91" s="19">
        <f t="shared" si="12"/>
        <v>5.0470805605589038E-3</v>
      </c>
      <c r="S91" s="2"/>
      <c r="T91" s="2"/>
      <c r="U91" s="2"/>
      <c r="V91" s="19">
        <f t="shared" si="13"/>
        <v>0</v>
      </c>
      <c r="W91" s="2"/>
      <c r="X91" s="2">
        <f t="shared" si="14"/>
        <v>23734.6</v>
      </c>
      <c r="Y91" s="2"/>
      <c r="Z91" s="19">
        <f t="shared" si="15"/>
        <v>0</v>
      </c>
    </row>
    <row r="92" spans="1:26" s="24" customFormat="1" hidden="1" outlineLevel="1" x14ac:dyDescent="0.25">
      <c r="A92" s="44"/>
      <c r="B92" s="11" t="str">
        <f>CONCATENATE("          ", "5028", " - ", "PURCHASES @ COST-ART/TECH")</f>
        <v xml:space="preserve">          5028 - PURCHASES @ COST-ART/TECH</v>
      </c>
      <c r="C92" s="11"/>
      <c r="D92" s="2">
        <v>1371.26</v>
      </c>
      <c r="E92" s="2"/>
      <c r="F92" s="19">
        <f t="shared" si="8"/>
        <v>3.1274017671738029E-3</v>
      </c>
      <c r="G92" s="2"/>
      <c r="H92" s="2"/>
      <c r="I92" s="2"/>
      <c r="J92" s="19">
        <f t="shared" si="9"/>
        <v>0</v>
      </c>
      <c r="K92" s="2"/>
      <c r="L92" s="2">
        <f t="shared" si="10"/>
        <v>1371.26</v>
      </c>
      <c r="M92" s="2"/>
      <c r="N92" s="19">
        <f t="shared" si="11"/>
        <v>0</v>
      </c>
      <c r="O92" s="11"/>
      <c r="P92" s="2">
        <v>47006.62</v>
      </c>
      <c r="Q92" s="2"/>
      <c r="R92" s="19">
        <f t="shared" si="12"/>
        <v>9.9957950847951692E-3</v>
      </c>
      <c r="S92" s="2"/>
      <c r="T92" s="2"/>
      <c r="U92" s="2"/>
      <c r="V92" s="19">
        <f t="shared" si="13"/>
        <v>0</v>
      </c>
      <c r="W92" s="2"/>
      <c r="X92" s="2">
        <f t="shared" si="14"/>
        <v>47006.62</v>
      </c>
      <c r="Y92" s="2"/>
      <c r="Z92" s="19">
        <f t="shared" si="15"/>
        <v>0</v>
      </c>
    </row>
    <row r="93" spans="1:26" s="24" customFormat="1" hidden="1" outlineLevel="1" x14ac:dyDescent="0.25">
      <c r="A93" s="44"/>
      <c r="B93" s="11" t="str">
        <f>CONCATENATE("          ", "5031", " - ", "PURCHASES @ COST-FOOD")</f>
        <v xml:space="preserve">          5031 - PURCHASES @ COST-FOOD</v>
      </c>
      <c r="C93" s="11"/>
      <c r="D93" s="2"/>
      <c r="E93" s="2"/>
      <c r="F93" s="19">
        <f t="shared" si="8"/>
        <v>0</v>
      </c>
      <c r="G93" s="2"/>
      <c r="H93" s="2"/>
      <c r="I93" s="2"/>
      <c r="J93" s="19">
        <f t="shared" si="9"/>
        <v>0</v>
      </c>
      <c r="K93" s="2"/>
      <c r="L93" s="2">
        <f t="shared" si="10"/>
        <v>0</v>
      </c>
      <c r="M93" s="2"/>
      <c r="N93" s="19">
        <f t="shared" si="11"/>
        <v>0</v>
      </c>
      <c r="O93" s="11"/>
      <c r="P93" s="2">
        <v>7785.72</v>
      </c>
      <c r="Q93" s="2"/>
      <c r="R93" s="19">
        <f t="shared" si="12"/>
        <v>1.6556064168747177E-3</v>
      </c>
      <c r="S93" s="2"/>
      <c r="T93" s="2"/>
      <c r="U93" s="2"/>
      <c r="V93" s="19">
        <f t="shared" si="13"/>
        <v>0</v>
      </c>
      <c r="W93" s="2"/>
      <c r="X93" s="2">
        <f t="shared" si="14"/>
        <v>7785.72</v>
      </c>
      <c r="Y93" s="2"/>
      <c r="Z93" s="19">
        <f t="shared" si="15"/>
        <v>0</v>
      </c>
    </row>
    <row r="94" spans="1:26" s="24" customFormat="1" hidden="1" outlineLevel="1" x14ac:dyDescent="0.25">
      <c r="A94" s="44"/>
      <c r="B94" s="11" t="str">
        <f>CONCATENATE("          ", "5040", " - ", "PURCHASES @ COST-LOGO CLOTHING")</f>
        <v xml:space="preserve">          5040 - PURCHASES @ COST-LOGO CLOTHING</v>
      </c>
      <c r="C94" s="11"/>
      <c r="D94" s="2">
        <v>39218.65</v>
      </c>
      <c r="E94" s="2"/>
      <c r="F94" s="19">
        <f t="shared" si="8"/>
        <v>8.9445090877128236E-2</v>
      </c>
      <c r="G94" s="2"/>
      <c r="H94" s="2"/>
      <c r="I94" s="2"/>
      <c r="J94" s="19">
        <f t="shared" si="9"/>
        <v>0</v>
      </c>
      <c r="K94" s="2"/>
      <c r="L94" s="2">
        <f t="shared" si="10"/>
        <v>39218.65</v>
      </c>
      <c r="M94" s="2"/>
      <c r="N94" s="19">
        <f t="shared" si="11"/>
        <v>0</v>
      </c>
      <c r="O94" s="11"/>
      <c r="P94" s="2">
        <v>279090.25</v>
      </c>
      <c r="Q94" s="2"/>
      <c r="R94" s="19">
        <f t="shared" si="12"/>
        <v>5.9347575919397197E-2</v>
      </c>
      <c r="S94" s="2"/>
      <c r="T94" s="2"/>
      <c r="U94" s="2"/>
      <c r="V94" s="19">
        <f t="shared" si="13"/>
        <v>0</v>
      </c>
      <c r="W94" s="2"/>
      <c r="X94" s="2">
        <f t="shared" si="14"/>
        <v>279090.25</v>
      </c>
      <c r="Y94" s="2"/>
      <c r="Z94" s="19">
        <f t="shared" si="15"/>
        <v>0</v>
      </c>
    </row>
    <row r="95" spans="1:26" s="24" customFormat="1" hidden="1" outlineLevel="1" x14ac:dyDescent="0.25">
      <c r="A95" s="44"/>
      <c r="B95" s="11" t="str">
        <f>CONCATENATE("          ", "5041", " - ", "PURCHASES @ COST-LOGO GIFTS")</f>
        <v xml:space="preserve">          5041 - PURCHASES @ COST-LOGO GIFTS</v>
      </c>
      <c r="C95" s="11"/>
      <c r="D95" s="2">
        <v>15798.51</v>
      </c>
      <c r="E95" s="2"/>
      <c r="F95" s="19">
        <f t="shared" si="8"/>
        <v>3.6031305582247715E-2</v>
      </c>
      <c r="G95" s="2"/>
      <c r="H95" s="2"/>
      <c r="I95" s="2"/>
      <c r="J95" s="19">
        <f t="shared" si="9"/>
        <v>0</v>
      </c>
      <c r="K95" s="2"/>
      <c r="L95" s="2">
        <f t="shared" si="10"/>
        <v>15798.51</v>
      </c>
      <c r="M95" s="2"/>
      <c r="N95" s="19">
        <f t="shared" si="11"/>
        <v>0</v>
      </c>
      <c r="O95" s="11"/>
      <c r="P95" s="2">
        <v>84261.95</v>
      </c>
      <c r="Q95" s="2"/>
      <c r="R95" s="19">
        <f t="shared" si="12"/>
        <v>1.7918012093727568E-2</v>
      </c>
      <c r="S95" s="2"/>
      <c r="T95" s="2"/>
      <c r="U95" s="2"/>
      <c r="V95" s="19">
        <f t="shared" si="13"/>
        <v>0</v>
      </c>
      <c r="W95" s="2"/>
      <c r="X95" s="2">
        <f t="shared" si="14"/>
        <v>84261.95</v>
      </c>
      <c r="Y95" s="2"/>
      <c r="Z95" s="19">
        <f t="shared" si="15"/>
        <v>0</v>
      </c>
    </row>
    <row r="96" spans="1:26" s="24" customFormat="1" hidden="1" outlineLevel="1" x14ac:dyDescent="0.25">
      <c r="A96" s="44"/>
      <c r="B96" s="11" t="str">
        <f>CONCATENATE("          ", "5042", " - ", "PURCHASES @ COST-EVERYDAY GIFT")</f>
        <v xml:space="preserve">          5042 - PURCHASES @ COST-EVERYDAY GIFT</v>
      </c>
      <c r="C96" s="11"/>
      <c r="D96" s="2"/>
      <c r="E96" s="2"/>
      <c r="F96" s="19">
        <f t="shared" si="8"/>
        <v>0</v>
      </c>
      <c r="G96" s="2"/>
      <c r="H96" s="2"/>
      <c r="I96" s="2"/>
      <c r="J96" s="19">
        <f t="shared" si="9"/>
        <v>0</v>
      </c>
      <c r="K96" s="2"/>
      <c r="L96" s="2">
        <f t="shared" si="10"/>
        <v>0</v>
      </c>
      <c r="M96" s="2"/>
      <c r="N96" s="19">
        <f t="shared" si="11"/>
        <v>0</v>
      </c>
      <c r="O96" s="11"/>
      <c r="P96" s="2">
        <v>18748.18</v>
      </c>
      <c r="Q96" s="2"/>
      <c r="R96" s="19">
        <f t="shared" si="12"/>
        <v>3.9867356021950759E-3</v>
      </c>
      <c r="S96" s="2"/>
      <c r="T96" s="2"/>
      <c r="U96" s="2"/>
      <c r="V96" s="19">
        <f t="shared" si="13"/>
        <v>0</v>
      </c>
      <c r="W96" s="2"/>
      <c r="X96" s="2">
        <f t="shared" si="14"/>
        <v>18748.18</v>
      </c>
      <c r="Y96" s="2"/>
      <c r="Z96" s="19">
        <f t="shared" si="15"/>
        <v>0</v>
      </c>
    </row>
    <row r="97" spans="1:26" s="24" customFormat="1" hidden="1" outlineLevel="1" x14ac:dyDescent="0.25">
      <c r="A97" s="44"/>
      <c r="B97" s="11" t="str">
        <f>CONCATENATE("          ", "5043", " - ", "PURCHASES @ COST-CARDS")</f>
        <v xml:space="preserve">          5043 - PURCHASES @ COST-CARDS</v>
      </c>
      <c r="C97" s="11"/>
      <c r="D97" s="2">
        <v>41</v>
      </c>
      <c r="E97" s="2"/>
      <c r="F97" s="19">
        <f t="shared" si="8"/>
        <v>9.3507775661891919E-5</v>
      </c>
      <c r="G97" s="2"/>
      <c r="H97" s="2"/>
      <c r="I97" s="2"/>
      <c r="J97" s="19">
        <f t="shared" si="9"/>
        <v>0</v>
      </c>
      <c r="K97" s="2"/>
      <c r="L97" s="2">
        <f t="shared" si="10"/>
        <v>41</v>
      </c>
      <c r="M97" s="2"/>
      <c r="N97" s="19">
        <f t="shared" si="11"/>
        <v>0</v>
      </c>
      <c r="O97" s="11"/>
      <c r="P97" s="2">
        <v>55405.33</v>
      </c>
      <c r="Q97" s="2"/>
      <c r="R97" s="19">
        <f t="shared" si="12"/>
        <v>1.1781751704024972E-2</v>
      </c>
      <c r="S97" s="2"/>
      <c r="T97" s="2"/>
      <c r="U97" s="2"/>
      <c r="V97" s="19">
        <f t="shared" si="13"/>
        <v>0</v>
      </c>
      <c r="W97" s="2"/>
      <c r="X97" s="2">
        <f t="shared" si="14"/>
        <v>55405.33</v>
      </c>
      <c r="Y97" s="2"/>
      <c r="Z97" s="19">
        <f t="shared" si="15"/>
        <v>0</v>
      </c>
    </row>
    <row r="98" spans="1:26" s="24" customFormat="1" hidden="1" outlineLevel="1" x14ac:dyDescent="0.25">
      <c r="A98" s="44"/>
      <c r="B98" s="11" t="str">
        <f>CONCATENATE("          ", "5044", " - ", "PURCHASES @ COST-ACCESSORIES")</f>
        <v xml:space="preserve">          5044 - PURCHASES @ COST-ACCESSORIES</v>
      </c>
      <c r="C98" s="11"/>
      <c r="D98" s="2">
        <v>1490.88</v>
      </c>
      <c r="E98" s="2"/>
      <c r="F98" s="19">
        <f t="shared" si="8"/>
        <v>3.4002164043610106E-3</v>
      </c>
      <c r="G98" s="2"/>
      <c r="H98" s="2"/>
      <c r="I98" s="2"/>
      <c r="J98" s="19">
        <f t="shared" si="9"/>
        <v>0</v>
      </c>
      <c r="K98" s="2"/>
      <c r="L98" s="2">
        <f t="shared" si="10"/>
        <v>1490.88</v>
      </c>
      <c r="M98" s="2"/>
      <c r="N98" s="19">
        <f t="shared" si="11"/>
        <v>0</v>
      </c>
      <c r="O98" s="11"/>
      <c r="P98" s="2">
        <v>2555.71</v>
      </c>
      <c r="Q98" s="2"/>
      <c r="R98" s="19">
        <f t="shared" si="12"/>
        <v>5.4346288791157205E-4</v>
      </c>
      <c r="S98" s="2"/>
      <c r="T98" s="2"/>
      <c r="U98" s="2"/>
      <c r="V98" s="19">
        <f t="shared" si="13"/>
        <v>0</v>
      </c>
      <c r="W98" s="2"/>
      <c r="X98" s="2">
        <f t="shared" si="14"/>
        <v>2555.71</v>
      </c>
      <c r="Y98" s="2"/>
      <c r="Z98" s="19">
        <f t="shared" si="15"/>
        <v>0</v>
      </c>
    </row>
    <row r="99" spans="1:26" s="24" customFormat="1" hidden="1" outlineLevel="1" x14ac:dyDescent="0.25">
      <c r="A99" s="44"/>
      <c r="B99" s="11" t="str">
        <f>CONCATENATE("          ", "5045", " - ", "PURCHASES @ COST-SPECIAL ORDER")</f>
        <v xml:space="preserve">          5045 - PURCHASES @ COST-SPECIAL ORDER</v>
      </c>
      <c r="C99" s="11"/>
      <c r="D99" s="2">
        <v>5771.38</v>
      </c>
      <c r="E99" s="2"/>
      <c r="F99" s="19">
        <f t="shared" si="8"/>
        <v>1.3162656251208044E-2</v>
      </c>
      <c r="G99" s="2"/>
      <c r="H99" s="2"/>
      <c r="I99" s="2"/>
      <c r="J99" s="19">
        <f t="shared" si="9"/>
        <v>0</v>
      </c>
      <c r="K99" s="2"/>
      <c r="L99" s="2">
        <f t="shared" si="10"/>
        <v>5771.38</v>
      </c>
      <c r="M99" s="2"/>
      <c r="N99" s="19">
        <f t="shared" si="11"/>
        <v>0</v>
      </c>
      <c r="O99" s="11"/>
      <c r="P99" s="2">
        <v>114998.07</v>
      </c>
      <c r="Q99" s="2"/>
      <c r="R99" s="19">
        <f t="shared" si="12"/>
        <v>2.4453941654748432E-2</v>
      </c>
      <c r="S99" s="2"/>
      <c r="T99" s="2"/>
      <c r="U99" s="2"/>
      <c r="V99" s="19">
        <f t="shared" si="13"/>
        <v>0</v>
      </c>
      <c r="W99" s="2"/>
      <c r="X99" s="2">
        <f t="shared" si="14"/>
        <v>114998.07</v>
      </c>
      <c r="Y99" s="2"/>
      <c r="Z99" s="19">
        <f t="shared" si="15"/>
        <v>0</v>
      </c>
    </row>
    <row r="100" spans="1:26" s="24" customFormat="1" hidden="1" outlineLevel="1" x14ac:dyDescent="0.25">
      <c r="A100" s="44"/>
      <c r="B100" s="11" t="str">
        <f>CONCATENATE("          ", "5086", " - ", "PURCHASES @ COST-COMPUTER SUPP")</f>
        <v xml:space="preserve">          5086 - PURCHASES @ COST-COMPUTER SUPP</v>
      </c>
      <c r="C100" s="11"/>
      <c r="D100" s="2"/>
      <c r="E100" s="2"/>
      <c r="F100" s="19">
        <f t="shared" si="8"/>
        <v>0</v>
      </c>
      <c r="G100" s="2"/>
      <c r="H100" s="2"/>
      <c r="I100" s="2"/>
      <c r="J100" s="19">
        <f t="shared" si="9"/>
        <v>0</v>
      </c>
      <c r="K100" s="2"/>
      <c r="L100" s="2">
        <f t="shared" si="10"/>
        <v>0</v>
      </c>
      <c r="M100" s="2"/>
      <c r="N100" s="19">
        <f t="shared" si="11"/>
        <v>0</v>
      </c>
      <c r="O100" s="11"/>
      <c r="P100" s="2">
        <v>13.21</v>
      </c>
      <c r="Q100" s="2"/>
      <c r="R100" s="19">
        <f t="shared" si="12"/>
        <v>2.8090607891004326E-6</v>
      </c>
      <c r="S100" s="2"/>
      <c r="T100" s="2"/>
      <c r="U100" s="2"/>
      <c r="V100" s="19">
        <f t="shared" si="13"/>
        <v>0</v>
      </c>
      <c r="W100" s="2"/>
      <c r="X100" s="2">
        <f t="shared" si="14"/>
        <v>13.21</v>
      </c>
      <c r="Y100" s="2"/>
      <c r="Z100" s="19">
        <f t="shared" si="15"/>
        <v>0</v>
      </c>
    </row>
    <row r="101" spans="1:26" s="24" customFormat="1" hidden="1" outlineLevel="1" x14ac:dyDescent="0.25">
      <c r="A101" s="44"/>
      <c r="B101" s="11" t="str">
        <f>CONCATENATE("          ", "5092", " - ", "PURCHASES @ COST-GRAD MERCH")</f>
        <v xml:space="preserve">          5092 - PURCHASES @ COST-GRAD MERCH</v>
      </c>
      <c r="C101" s="11"/>
      <c r="D101" s="2"/>
      <c r="E101" s="2"/>
      <c r="F101" s="19">
        <f t="shared" si="8"/>
        <v>0</v>
      </c>
      <c r="G101" s="2"/>
      <c r="H101" s="2"/>
      <c r="I101" s="2"/>
      <c r="J101" s="19">
        <f t="shared" si="9"/>
        <v>0</v>
      </c>
      <c r="K101" s="2"/>
      <c r="L101" s="2">
        <f t="shared" si="10"/>
        <v>0</v>
      </c>
      <c r="M101" s="2"/>
      <c r="N101" s="19">
        <f t="shared" si="11"/>
        <v>0</v>
      </c>
      <c r="O101" s="11"/>
      <c r="P101" s="2">
        <v>0</v>
      </c>
      <c r="Q101" s="2"/>
      <c r="R101" s="19">
        <f t="shared" si="12"/>
        <v>0</v>
      </c>
      <c r="S101" s="2"/>
      <c r="T101" s="2"/>
      <c r="U101" s="2"/>
      <c r="V101" s="19">
        <f t="shared" si="13"/>
        <v>0</v>
      </c>
      <c r="W101" s="2"/>
      <c r="X101" s="2">
        <f t="shared" si="14"/>
        <v>0</v>
      </c>
      <c r="Y101" s="2"/>
      <c r="Z101" s="19">
        <f t="shared" si="15"/>
        <v>0</v>
      </c>
    </row>
    <row r="102" spans="1:26" s="24" customFormat="1" hidden="1" outlineLevel="1" x14ac:dyDescent="0.25">
      <c r="A102" s="44"/>
      <c r="B102" s="11" t="str">
        <f>CONCATENATE("          ", "5200", " - ", "PURCHASES OFFSET")</f>
        <v xml:space="preserve">          5200 - PURCHASES OFFSET</v>
      </c>
      <c r="C102" s="11"/>
      <c r="D102" s="2">
        <v>78563.789999999994</v>
      </c>
      <c r="E102" s="2"/>
      <c r="F102" s="19">
        <f t="shared" si="8"/>
        <v>0.17917866464556068</v>
      </c>
      <c r="G102" s="2"/>
      <c r="H102" s="2"/>
      <c r="I102" s="2"/>
      <c r="J102" s="19">
        <f t="shared" si="9"/>
        <v>0</v>
      </c>
      <c r="K102" s="2"/>
      <c r="L102" s="2">
        <f t="shared" si="10"/>
        <v>78563.789999999994</v>
      </c>
      <c r="M102" s="2"/>
      <c r="N102" s="19">
        <f t="shared" si="11"/>
        <v>0</v>
      </c>
      <c r="O102" s="11"/>
      <c r="P102" s="2">
        <v>-1685385.13</v>
      </c>
      <c r="Q102" s="2"/>
      <c r="R102" s="19">
        <f t="shared" si="12"/>
        <v>-0.35839131591339402</v>
      </c>
      <c r="S102" s="2"/>
      <c r="T102" s="2"/>
      <c r="U102" s="2"/>
      <c r="V102" s="19">
        <f t="shared" si="13"/>
        <v>0</v>
      </c>
      <c r="W102" s="2"/>
      <c r="X102" s="2">
        <f t="shared" si="14"/>
        <v>-1685385.13</v>
      </c>
      <c r="Y102" s="2"/>
      <c r="Z102" s="19">
        <f t="shared" si="15"/>
        <v>0</v>
      </c>
    </row>
    <row r="103" spans="1:26" s="24" customFormat="1" hidden="1" outlineLevel="1" x14ac:dyDescent="0.25">
      <c r="A103" s="44"/>
      <c r="B103" s="11" t="str">
        <f>CONCATENATE("          ", "5300", " - ", "COG$ OFFSET")</f>
        <v xml:space="preserve">          5300 - COG$ OFFSET</v>
      </c>
      <c r="C103" s="11"/>
      <c r="D103" s="2">
        <v>222888</v>
      </c>
      <c r="E103" s="2"/>
      <c r="F103" s="19">
        <f t="shared" si="8"/>
        <v>0.50833563662750647</v>
      </c>
      <c r="G103" s="2"/>
      <c r="H103" s="2"/>
      <c r="I103" s="2"/>
      <c r="J103" s="19">
        <f t="shared" si="9"/>
        <v>0</v>
      </c>
      <c r="K103" s="2"/>
      <c r="L103" s="2">
        <f t="shared" si="10"/>
        <v>222888</v>
      </c>
      <c r="M103" s="2"/>
      <c r="N103" s="19">
        <f t="shared" si="11"/>
        <v>0</v>
      </c>
      <c r="O103" s="11"/>
      <c r="P103" s="2">
        <v>2400396</v>
      </c>
      <c r="Q103" s="2"/>
      <c r="R103" s="19">
        <f t="shared" si="12"/>
        <v>0.51043590324856336</v>
      </c>
      <c r="S103" s="2"/>
      <c r="T103" s="2"/>
      <c r="U103" s="2"/>
      <c r="V103" s="19">
        <f t="shared" si="13"/>
        <v>0</v>
      </c>
      <c r="W103" s="2"/>
      <c r="X103" s="2">
        <f t="shared" si="14"/>
        <v>2400396</v>
      </c>
      <c r="Y103" s="2"/>
      <c r="Z103" s="19">
        <f t="shared" si="15"/>
        <v>0</v>
      </c>
    </row>
    <row r="104" spans="1:26" s="24" customFormat="1" hidden="1" outlineLevel="1" x14ac:dyDescent="0.25">
      <c r="A104" s="44"/>
      <c r="B104" s="11" t="str">
        <f>CONCATENATE("          ", "5500", " - ", "FREIGHT-IN")</f>
        <v xml:space="preserve">          5500 - FREIGHT-IN</v>
      </c>
      <c r="C104" s="11"/>
      <c r="D104" s="2"/>
      <c r="E104" s="2"/>
      <c r="F104" s="19">
        <f t="shared" si="8"/>
        <v>0</v>
      </c>
      <c r="G104" s="2"/>
      <c r="H104" s="2"/>
      <c r="I104" s="2"/>
      <c r="J104" s="19">
        <f t="shared" si="9"/>
        <v>0</v>
      </c>
      <c r="K104" s="2"/>
      <c r="L104" s="2">
        <f t="shared" si="10"/>
        <v>0</v>
      </c>
      <c r="M104" s="2"/>
      <c r="N104" s="19">
        <f t="shared" si="11"/>
        <v>0</v>
      </c>
      <c r="O104" s="11"/>
      <c r="P104" s="2">
        <v>0</v>
      </c>
      <c r="Q104" s="2"/>
      <c r="R104" s="19">
        <f t="shared" si="12"/>
        <v>0</v>
      </c>
      <c r="S104" s="2"/>
      <c r="T104" s="2"/>
      <c r="U104" s="2"/>
      <c r="V104" s="19">
        <f t="shared" si="13"/>
        <v>0</v>
      </c>
      <c r="W104" s="2"/>
      <c r="X104" s="2">
        <f t="shared" si="14"/>
        <v>0</v>
      </c>
      <c r="Y104" s="2"/>
      <c r="Z104" s="19">
        <f t="shared" si="15"/>
        <v>0</v>
      </c>
    </row>
    <row r="105" spans="1:26" s="24" customFormat="1" hidden="1" outlineLevel="1" x14ac:dyDescent="0.25">
      <c r="A105" s="44"/>
      <c r="B105" s="11" t="str">
        <f>CONCATENATE("          ", "5501", " - ", "FREIGHT-IN-NEW TEXT")</f>
        <v xml:space="preserve">          5501 - FREIGHT-IN-NEW TEXT</v>
      </c>
      <c r="C105" s="11"/>
      <c r="D105" s="2">
        <v>271.27</v>
      </c>
      <c r="E105" s="2"/>
      <c r="F105" s="19">
        <f t="shared" si="8"/>
        <v>6.1867937326344925E-4</v>
      </c>
      <c r="G105" s="2"/>
      <c r="H105" s="2"/>
      <c r="I105" s="2"/>
      <c r="J105" s="19">
        <f t="shared" si="9"/>
        <v>0</v>
      </c>
      <c r="K105" s="2"/>
      <c r="L105" s="2">
        <f t="shared" si="10"/>
        <v>271.27</v>
      </c>
      <c r="M105" s="2"/>
      <c r="N105" s="19">
        <f t="shared" si="11"/>
        <v>0</v>
      </c>
      <c r="O105" s="11"/>
      <c r="P105" s="2">
        <v>50313.73</v>
      </c>
      <c r="Q105" s="2"/>
      <c r="R105" s="19">
        <f t="shared" si="12"/>
        <v>1.0699040582618176E-2</v>
      </c>
      <c r="S105" s="2"/>
      <c r="T105" s="2"/>
      <c r="U105" s="2"/>
      <c r="V105" s="19">
        <f t="shared" si="13"/>
        <v>0</v>
      </c>
      <c r="W105" s="2"/>
      <c r="X105" s="2">
        <f t="shared" si="14"/>
        <v>50313.73</v>
      </c>
      <c r="Y105" s="2"/>
      <c r="Z105" s="19">
        <f t="shared" si="15"/>
        <v>0</v>
      </c>
    </row>
    <row r="106" spans="1:26" s="24" customFormat="1" hidden="1" outlineLevel="1" x14ac:dyDescent="0.25">
      <c r="A106" s="44"/>
      <c r="B106" s="11" t="str">
        <f>CONCATENATE("          ", "5502", " - ", "FREIGHT-IN-USED TEXT")</f>
        <v xml:space="preserve">          5502 - FREIGHT-IN-USED TEXT</v>
      </c>
      <c r="C106" s="11"/>
      <c r="D106" s="2">
        <v>58.77</v>
      </c>
      <c r="E106" s="2"/>
      <c r="F106" s="19">
        <f t="shared" si="8"/>
        <v>1.3403541404022898E-4</v>
      </c>
      <c r="G106" s="2"/>
      <c r="H106" s="2"/>
      <c r="I106" s="2"/>
      <c r="J106" s="19">
        <f t="shared" si="9"/>
        <v>0</v>
      </c>
      <c r="K106" s="2"/>
      <c r="L106" s="2">
        <f t="shared" si="10"/>
        <v>58.77</v>
      </c>
      <c r="M106" s="2"/>
      <c r="N106" s="19">
        <f t="shared" si="11"/>
        <v>0</v>
      </c>
      <c r="O106" s="11"/>
      <c r="P106" s="2">
        <v>17858.900000000001</v>
      </c>
      <c r="Q106" s="2"/>
      <c r="R106" s="19">
        <f t="shared" si="12"/>
        <v>3.797633287393317E-3</v>
      </c>
      <c r="S106" s="2"/>
      <c r="T106" s="2"/>
      <c r="U106" s="2"/>
      <c r="V106" s="19">
        <f t="shared" si="13"/>
        <v>0</v>
      </c>
      <c r="W106" s="2"/>
      <c r="X106" s="2">
        <f t="shared" si="14"/>
        <v>17858.900000000001</v>
      </c>
      <c r="Y106" s="2"/>
      <c r="Z106" s="19">
        <f t="shared" si="15"/>
        <v>0</v>
      </c>
    </row>
    <row r="107" spans="1:26" s="24" customFormat="1" hidden="1" outlineLevel="1" x14ac:dyDescent="0.25">
      <c r="A107" s="44"/>
      <c r="B107" s="11" t="str">
        <f>CONCATENATE("          ", "5504", " - ", "FREIGHT-IN-DIGITAL TEXT")</f>
        <v xml:space="preserve">          5504 - FREIGHT-IN-DIGITAL TEXT</v>
      </c>
      <c r="C107" s="11"/>
      <c r="D107" s="2"/>
      <c r="E107" s="2"/>
      <c r="F107" s="19">
        <f t="shared" si="8"/>
        <v>0</v>
      </c>
      <c r="G107" s="2"/>
      <c r="H107" s="2"/>
      <c r="I107" s="2"/>
      <c r="J107" s="19">
        <f t="shared" si="9"/>
        <v>0</v>
      </c>
      <c r="K107" s="2"/>
      <c r="L107" s="2">
        <f t="shared" si="10"/>
        <v>0</v>
      </c>
      <c r="M107" s="2"/>
      <c r="N107" s="19">
        <f t="shared" si="11"/>
        <v>0</v>
      </c>
      <c r="O107" s="11"/>
      <c r="P107" s="2">
        <v>28.92</v>
      </c>
      <c r="Q107" s="2"/>
      <c r="R107" s="19">
        <f t="shared" si="12"/>
        <v>6.1497379273871701E-6</v>
      </c>
      <c r="S107" s="2"/>
      <c r="T107" s="2"/>
      <c r="U107" s="2"/>
      <c r="V107" s="19">
        <f t="shared" si="13"/>
        <v>0</v>
      </c>
      <c r="W107" s="2"/>
      <c r="X107" s="2">
        <f t="shared" si="14"/>
        <v>28.92</v>
      </c>
      <c r="Y107" s="2"/>
      <c r="Z107" s="19">
        <f t="shared" si="15"/>
        <v>0</v>
      </c>
    </row>
    <row r="108" spans="1:26" s="24" customFormat="1" hidden="1" outlineLevel="1" x14ac:dyDescent="0.25">
      <c r="A108" s="44"/>
      <c r="B108" s="11" t="str">
        <f>CONCATENATE("          ", "5513", " - ", "FREIGHT-IN-TRADE BOOKS")</f>
        <v xml:space="preserve">          5513 - FREIGHT-IN-TRADE BOOKS</v>
      </c>
      <c r="C108" s="11"/>
      <c r="D108" s="2"/>
      <c r="E108" s="2"/>
      <c r="F108" s="19">
        <f t="shared" si="8"/>
        <v>0</v>
      </c>
      <c r="G108" s="2"/>
      <c r="H108" s="2"/>
      <c r="I108" s="2"/>
      <c r="J108" s="19">
        <f t="shared" si="9"/>
        <v>0</v>
      </c>
      <c r="K108" s="2"/>
      <c r="L108" s="2">
        <f t="shared" si="10"/>
        <v>0</v>
      </c>
      <c r="M108" s="2"/>
      <c r="N108" s="19">
        <f t="shared" si="11"/>
        <v>0</v>
      </c>
      <c r="O108" s="11"/>
      <c r="P108" s="2">
        <v>85.28</v>
      </c>
      <c r="Q108" s="2"/>
      <c r="R108" s="19">
        <f t="shared" si="12"/>
        <v>1.8134496903443217E-5</v>
      </c>
      <c r="S108" s="2"/>
      <c r="T108" s="2"/>
      <c r="U108" s="2"/>
      <c r="V108" s="19">
        <f t="shared" si="13"/>
        <v>0</v>
      </c>
      <c r="W108" s="2"/>
      <c r="X108" s="2">
        <f t="shared" si="14"/>
        <v>85.28</v>
      </c>
      <c r="Y108" s="2"/>
      <c r="Z108" s="19">
        <f t="shared" si="15"/>
        <v>0</v>
      </c>
    </row>
    <row r="109" spans="1:26" s="24" customFormat="1" hidden="1" outlineLevel="1" x14ac:dyDescent="0.25">
      <c r="A109" s="44"/>
      <c r="B109" s="11" t="str">
        <f>CONCATENATE("          ", "5525", " - ", "FREIGHT-IN-TEST FORMS")</f>
        <v xml:space="preserve">          5525 - FREIGHT-IN-TEST FORMS</v>
      </c>
      <c r="C109" s="11"/>
      <c r="D109" s="2"/>
      <c r="E109" s="2"/>
      <c r="F109" s="19">
        <f t="shared" si="8"/>
        <v>0</v>
      </c>
      <c r="G109" s="2"/>
      <c r="H109" s="2"/>
      <c r="I109" s="2"/>
      <c r="J109" s="19">
        <f t="shared" si="9"/>
        <v>0</v>
      </c>
      <c r="K109" s="2"/>
      <c r="L109" s="2">
        <f t="shared" si="10"/>
        <v>0</v>
      </c>
      <c r="M109" s="2"/>
      <c r="N109" s="19">
        <f t="shared" si="11"/>
        <v>0</v>
      </c>
      <c r="O109" s="11"/>
      <c r="P109" s="2">
        <v>48.14</v>
      </c>
      <c r="Q109" s="2"/>
      <c r="R109" s="19">
        <f t="shared" si="12"/>
        <v>1.0236804419931477E-5</v>
      </c>
      <c r="S109" s="2"/>
      <c r="T109" s="2"/>
      <c r="U109" s="2"/>
      <c r="V109" s="19">
        <f t="shared" si="13"/>
        <v>0</v>
      </c>
      <c r="W109" s="2"/>
      <c r="X109" s="2">
        <f t="shared" si="14"/>
        <v>48.14</v>
      </c>
      <c r="Y109" s="2"/>
      <c r="Z109" s="19">
        <f t="shared" si="15"/>
        <v>0</v>
      </c>
    </row>
    <row r="110" spans="1:26" s="24" customFormat="1" hidden="1" outlineLevel="1" x14ac:dyDescent="0.25">
      <c r="A110" s="44"/>
      <c r="B110" s="11" t="str">
        <f>CONCATENATE("          ", "5526", " - ", "FREIGHT-IN-WRITING INSTRUMENTS")</f>
        <v xml:space="preserve">          5526 - FREIGHT-IN-WRITING INSTRUMENTS</v>
      </c>
      <c r="C110" s="11"/>
      <c r="D110" s="2"/>
      <c r="E110" s="2"/>
      <c r="F110" s="19">
        <f t="shared" si="8"/>
        <v>0</v>
      </c>
      <c r="G110" s="2"/>
      <c r="H110" s="2"/>
      <c r="I110" s="2"/>
      <c r="J110" s="19">
        <f t="shared" si="9"/>
        <v>0</v>
      </c>
      <c r="K110" s="2"/>
      <c r="L110" s="2">
        <f t="shared" si="10"/>
        <v>0</v>
      </c>
      <c r="M110" s="2"/>
      <c r="N110" s="19">
        <f t="shared" si="11"/>
        <v>0</v>
      </c>
      <c r="O110" s="11"/>
      <c r="P110" s="2">
        <v>0</v>
      </c>
      <c r="Q110" s="2"/>
      <c r="R110" s="19">
        <f t="shared" si="12"/>
        <v>0</v>
      </c>
      <c r="S110" s="2"/>
      <c r="T110" s="2"/>
      <c r="U110" s="2"/>
      <c r="V110" s="19">
        <f t="shared" si="13"/>
        <v>0</v>
      </c>
      <c r="W110" s="2"/>
      <c r="X110" s="2">
        <f t="shared" si="14"/>
        <v>0</v>
      </c>
      <c r="Y110" s="2"/>
      <c r="Z110" s="19">
        <f t="shared" si="15"/>
        <v>0</v>
      </c>
    </row>
    <row r="111" spans="1:26" s="24" customFormat="1" hidden="1" outlineLevel="1" x14ac:dyDescent="0.25">
      <c r="A111" s="44"/>
      <c r="B111" s="11" t="str">
        <f>CONCATENATE("          ", "5527", " - ", "FREIGHT-IN-SCHOOL SUPPLIES")</f>
        <v xml:space="preserve">          5527 - FREIGHT-IN-SCHOOL SUPPLIES</v>
      </c>
      <c r="C111" s="11"/>
      <c r="D111" s="2"/>
      <c r="E111" s="2"/>
      <c r="F111" s="19">
        <f t="shared" si="8"/>
        <v>0</v>
      </c>
      <c r="G111" s="2"/>
      <c r="H111" s="2"/>
      <c r="I111" s="2"/>
      <c r="J111" s="19">
        <f t="shared" si="9"/>
        <v>0</v>
      </c>
      <c r="K111" s="2"/>
      <c r="L111" s="2">
        <f t="shared" si="10"/>
        <v>0</v>
      </c>
      <c r="M111" s="2"/>
      <c r="N111" s="19">
        <f t="shared" si="11"/>
        <v>0</v>
      </c>
      <c r="O111" s="11"/>
      <c r="P111" s="2">
        <v>218.62</v>
      </c>
      <c r="Q111" s="2"/>
      <c r="R111" s="19">
        <f t="shared" si="12"/>
        <v>4.648878650364395E-5</v>
      </c>
      <c r="S111" s="2"/>
      <c r="T111" s="2"/>
      <c r="U111" s="2"/>
      <c r="V111" s="19">
        <f t="shared" si="13"/>
        <v>0</v>
      </c>
      <c r="W111" s="2"/>
      <c r="X111" s="2">
        <f t="shared" si="14"/>
        <v>218.62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"5528", " - ", "FREIGHT-IN-ART/TECH")</f>
        <v xml:space="preserve">          5528 - FREIGHT-IN-ART/TECH</v>
      </c>
      <c r="C112" s="11"/>
      <c r="D112" s="2">
        <v>89.22</v>
      </c>
      <c r="E112" s="2"/>
      <c r="F112" s="19">
        <f t="shared" si="8"/>
        <v>2.0348204255009748E-4</v>
      </c>
      <c r="G112" s="2"/>
      <c r="H112" s="2"/>
      <c r="I112" s="2"/>
      <c r="J112" s="19">
        <f t="shared" si="9"/>
        <v>0</v>
      </c>
      <c r="K112" s="2"/>
      <c r="L112" s="2">
        <f t="shared" si="10"/>
        <v>89.22</v>
      </c>
      <c r="M112" s="2"/>
      <c r="N112" s="19">
        <f t="shared" si="11"/>
        <v>0</v>
      </c>
      <c r="O112" s="11"/>
      <c r="P112" s="2">
        <v>544.42999999999995</v>
      </c>
      <c r="Q112" s="2"/>
      <c r="R112" s="19">
        <f t="shared" si="12"/>
        <v>1.1577115559499987E-4</v>
      </c>
      <c r="S112" s="2"/>
      <c r="T112" s="2"/>
      <c r="U112" s="2"/>
      <c r="V112" s="19">
        <f t="shared" si="13"/>
        <v>0</v>
      </c>
      <c r="W112" s="2"/>
      <c r="X112" s="2">
        <f t="shared" si="14"/>
        <v>544.42999999999995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"5540", " - ", "FREIGHT-IN-LOGO CLOTHING")</f>
        <v xml:space="preserve">          5540 - FREIGHT-IN-LOGO CLOTHING</v>
      </c>
      <c r="C113" s="11"/>
      <c r="D113" s="2">
        <v>2107.65</v>
      </c>
      <c r="E113" s="2"/>
      <c r="F113" s="19">
        <f t="shared" si="8"/>
        <v>4.8068698383850368E-3</v>
      </c>
      <c r="G113" s="2"/>
      <c r="H113" s="2"/>
      <c r="I113" s="2"/>
      <c r="J113" s="19">
        <f t="shared" si="9"/>
        <v>0</v>
      </c>
      <c r="K113" s="2"/>
      <c r="L113" s="2">
        <f t="shared" si="10"/>
        <v>2107.65</v>
      </c>
      <c r="M113" s="2"/>
      <c r="N113" s="19">
        <f t="shared" si="11"/>
        <v>0</v>
      </c>
      <c r="O113" s="11"/>
      <c r="P113" s="2">
        <v>9216.02</v>
      </c>
      <c r="Q113" s="2"/>
      <c r="R113" s="19">
        <f t="shared" si="12"/>
        <v>1.9597547625711861E-3</v>
      </c>
      <c r="S113" s="2"/>
      <c r="T113" s="2"/>
      <c r="U113" s="2"/>
      <c r="V113" s="19">
        <f t="shared" si="13"/>
        <v>0</v>
      </c>
      <c r="W113" s="2"/>
      <c r="X113" s="2">
        <f t="shared" si="14"/>
        <v>9216.02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"5541", " - ", "FREIGHT-IN-LOGO GIFTS")</f>
        <v xml:space="preserve">          5541 - FREIGHT-IN-LOGO GIFTS</v>
      </c>
      <c r="C114" s="11"/>
      <c r="D114" s="2">
        <v>2877.99</v>
      </c>
      <c r="E114" s="2"/>
      <c r="F114" s="19">
        <f t="shared" si="8"/>
        <v>6.5637669091992267E-3</v>
      </c>
      <c r="G114" s="2"/>
      <c r="H114" s="2"/>
      <c r="I114" s="2"/>
      <c r="J114" s="19">
        <f t="shared" si="9"/>
        <v>0</v>
      </c>
      <c r="K114" s="2"/>
      <c r="L114" s="2">
        <f t="shared" si="10"/>
        <v>2877.99</v>
      </c>
      <c r="M114" s="2"/>
      <c r="N114" s="19">
        <f t="shared" si="11"/>
        <v>0</v>
      </c>
      <c r="O114" s="11"/>
      <c r="P114" s="2">
        <v>5015.99</v>
      </c>
      <c r="Q114" s="2"/>
      <c r="R114" s="19">
        <f t="shared" si="12"/>
        <v>1.0666329165420043E-3</v>
      </c>
      <c r="S114" s="2"/>
      <c r="T114" s="2"/>
      <c r="U114" s="2"/>
      <c r="V114" s="19">
        <f t="shared" si="13"/>
        <v>0</v>
      </c>
      <c r="W114" s="2"/>
      <c r="X114" s="2">
        <f t="shared" si="14"/>
        <v>5015.99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"5542", " - ", "FREIGHT-IN-EVERYDAY GIFTS")</f>
        <v xml:space="preserve">          5542 - FREIGHT-IN-EVERYDAY GIFTS</v>
      </c>
      <c r="C115" s="11"/>
      <c r="D115" s="2"/>
      <c r="E115" s="2"/>
      <c r="F115" s="19">
        <f t="shared" si="8"/>
        <v>0</v>
      </c>
      <c r="G115" s="2"/>
      <c r="H115" s="2"/>
      <c r="I115" s="2"/>
      <c r="J115" s="19">
        <f t="shared" si="9"/>
        <v>0</v>
      </c>
      <c r="K115" s="2"/>
      <c r="L115" s="2">
        <f t="shared" si="10"/>
        <v>0</v>
      </c>
      <c r="M115" s="2"/>
      <c r="N115" s="19">
        <f t="shared" si="11"/>
        <v>0</v>
      </c>
      <c r="O115" s="11"/>
      <c r="P115" s="2">
        <v>681.72</v>
      </c>
      <c r="Q115" s="2"/>
      <c r="R115" s="19">
        <f t="shared" si="12"/>
        <v>1.4496539902691499E-4</v>
      </c>
      <c r="S115" s="2"/>
      <c r="T115" s="2"/>
      <c r="U115" s="2"/>
      <c r="V115" s="19">
        <f t="shared" si="13"/>
        <v>0</v>
      </c>
      <c r="W115" s="2"/>
      <c r="X115" s="2">
        <f t="shared" si="14"/>
        <v>681.72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"5543", " - ", "FREIGHT-IN-CARDS")</f>
        <v xml:space="preserve">          5543 - FREIGHT-IN-CARDS</v>
      </c>
      <c r="C116" s="11"/>
      <c r="D116" s="2"/>
      <c r="E116" s="2"/>
      <c r="F116" s="19">
        <f t="shared" si="8"/>
        <v>0</v>
      </c>
      <c r="G116" s="2"/>
      <c r="H116" s="2"/>
      <c r="I116" s="2"/>
      <c r="J116" s="19">
        <f t="shared" si="9"/>
        <v>0</v>
      </c>
      <c r="K116" s="2"/>
      <c r="L116" s="2">
        <f t="shared" si="10"/>
        <v>0</v>
      </c>
      <c r="M116" s="2"/>
      <c r="N116" s="19">
        <f t="shared" si="11"/>
        <v>0</v>
      </c>
      <c r="O116" s="11"/>
      <c r="P116" s="2">
        <v>9110.5300000000007</v>
      </c>
      <c r="Q116" s="2"/>
      <c r="R116" s="19">
        <f t="shared" si="12"/>
        <v>1.9373226791009209E-3</v>
      </c>
      <c r="S116" s="2"/>
      <c r="T116" s="2"/>
      <c r="U116" s="2"/>
      <c r="V116" s="19">
        <f t="shared" si="13"/>
        <v>0</v>
      </c>
      <c r="W116" s="2"/>
      <c r="X116" s="2">
        <f t="shared" si="14"/>
        <v>9110.5300000000007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"5545", " - ", "FREIGHT-IN-SPECIAL ORDERS")</f>
        <v xml:space="preserve">          5545 - FREIGHT-IN-SPECIAL ORDERS</v>
      </c>
      <c r="C117" s="11"/>
      <c r="D117" s="2">
        <v>168.6</v>
      </c>
      <c r="E117" s="2"/>
      <c r="F117" s="19">
        <f t="shared" si="8"/>
        <v>3.845222189413409E-4</v>
      </c>
      <c r="G117" s="2"/>
      <c r="H117" s="2"/>
      <c r="I117" s="2"/>
      <c r="J117" s="19">
        <f t="shared" si="9"/>
        <v>0</v>
      </c>
      <c r="K117" s="2"/>
      <c r="L117" s="2">
        <f t="shared" si="10"/>
        <v>168.6</v>
      </c>
      <c r="M117" s="2"/>
      <c r="N117" s="19">
        <f t="shared" si="11"/>
        <v>0</v>
      </c>
      <c r="O117" s="11"/>
      <c r="P117" s="2">
        <v>1434.76</v>
      </c>
      <c r="Q117" s="2"/>
      <c r="R117" s="19">
        <f t="shared" si="12"/>
        <v>3.0509674926341686E-4</v>
      </c>
      <c r="S117" s="2"/>
      <c r="T117" s="2"/>
      <c r="U117" s="2"/>
      <c r="V117" s="19">
        <f t="shared" si="13"/>
        <v>0</v>
      </c>
      <c r="W117" s="2"/>
      <c r="X117" s="2">
        <f t="shared" si="14"/>
        <v>1434.76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"5592", " - ", "FREIGHT-IN-GRAD MERCH")</f>
        <v xml:space="preserve">          5592 - FREIGHT-IN-GRAD MERCH</v>
      </c>
      <c r="C118" s="11"/>
      <c r="D118" s="2"/>
      <c r="E118" s="2"/>
      <c r="F118" s="19">
        <f t="shared" si="8"/>
        <v>0</v>
      </c>
      <c r="G118" s="2"/>
      <c r="H118" s="2"/>
      <c r="I118" s="2"/>
      <c r="J118" s="19">
        <f t="shared" si="9"/>
        <v>0</v>
      </c>
      <c r="K118" s="2"/>
      <c r="L118" s="2">
        <f t="shared" si="10"/>
        <v>0</v>
      </c>
      <c r="M118" s="2"/>
      <c r="N118" s="19">
        <f t="shared" si="11"/>
        <v>0</v>
      </c>
      <c r="O118" s="11"/>
      <c r="P118" s="2">
        <v>0</v>
      </c>
      <c r="Q118" s="2"/>
      <c r="R118" s="19">
        <f t="shared" si="12"/>
        <v>0</v>
      </c>
      <c r="S118" s="2"/>
      <c r="T118" s="2"/>
      <c r="U118" s="2"/>
      <c r="V118" s="19">
        <f t="shared" si="13"/>
        <v>0</v>
      </c>
      <c r="W118" s="2"/>
      <c r="X118" s="2">
        <f t="shared" si="14"/>
        <v>0</v>
      </c>
      <c r="Y118" s="2"/>
      <c r="Z118" s="19">
        <f t="shared" si="15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108</v>
      </c>
      <c r="C120" s="28"/>
      <c r="D120" s="21">
        <f>D12-D79</f>
        <v>215284.22000000009</v>
      </c>
      <c r="E120" s="14"/>
      <c r="F120" s="20">
        <f>IF(D$12=0,0,D120/D$12)</f>
        <v>0.49099386700744863</v>
      </c>
      <c r="G120" s="14"/>
      <c r="H120" s="21">
        <f>H12-H79</f>
        <v>269869</v>
      </c>
      <c r="I120" s="14"/>
      <c r="J120" s="20">
        <f>IF(H$12=0,0,H120/H$12)</f>
        <v>0.56951209217912468</v>
      </c>
      <c r="K120" s="16"/>
      <c r="L120" s="21">
        <f>+D120-H120</f>
        <v>-54584.779999999912</v>
      </c>
      <c r="M120" s="16"/>
      <c r="N120" s="20">
        <f>IF(H120=0,0,L120/H120)</f>
        <v>-0.20226398734200635</v>
      </c>
      <c r="O120" s="29"/>
      <c r="P120" s="21">
        <f>P12-P79</f>
        <v>1758481.6699999995</v>
      </c>
      <c r="Q120" s="14"/>
      <c r="R120" s="20">
        <f>IF(P$12=0,0,P120/P$12)</f>
        <v>0.3739350422065742</v>
      </c>
      <c r="S120" s="14"/>
      <c r="T120" s="21">
        <f>T12-T79</f>
        <v>3407993</v>
      </c>
      <c r="U120" s="14"/>
      <c r="V120" s="20">
        <f>IF(T$12=0,0,T120/T$12)</f>
        <v>0.41597384339382626</v>
      </c>
      <c r="W120" s="16"/>
      <c r="X120" s="21">
        <f>+P120-T120</f>
        <v>-1649511.3300000005</v>
      </c>
      <c r="Y120" s="16"/>
      <c r="Z120" s="20">
        <f>IF(T120=0,0,X120/T120)</f>
        <v>-0.48401253465015937</v>
      </c>
    </row>
    <row r="121" spans="1:26" x14ac:dyDescent="0.25">
      <c r="A121" s="9"/>
      <c r="B121" s="10"/>
      <c r="C121" s="9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9" t="s">
        <v>295</v>
      </c>
      <c r="C122" s="10"/>
      <c r="D122" s="22">
        <f>SUM(OSRRefD22x_0)</f>
        <v>255576.60999999993</v>
      </c>
      <c r="E122" s="22"/>
      <c r="F122" s="32">
        <f t="shared" ref="F122:F133" si="16">IF(D$12=0,0,D122/D$12)</f>
        <v>0.58288781249528876</v>
      </c>
      <c r="G122" s="22"/>
      <c r="H122" s="22">
        <f>SUM(OSRRefH22x_0)</f>
        <v>382565.29203097319</v>
      </c>
      <c r="I122" s="22"/>
      <c r="J122" s="32">
        <f t="shared" ref="J122:J133" si="17">IF(H$12=0,0,H122/H$12)</f>
        <v>0.8073382265457586</v>
      </c>
      <c r="K122" s="4"/>
      <c r="L122" s="22">
        <f t="shared" ref="L122:L133" si="18">+D122-H122</f>
        <v>-126988.68203097326</v>
      </c>
      <c r="M122" s="4"/>
      <c r="N122" s="32">
        <f t="shared" ref="N122:N133" si="19">IF(H122=0,0,L122/H122)</f>
        <v>-0.33193989281362207</v>
      </c>
      <c r="O122" s="10"/>
      <c r="P122" s="22">
        <f>SUM(OSRRefP22x_0)</f>
        <v>2638331.6500000008</v>
      </c>
      <c r="Q122" s="22"/>
      <c r="R122" s="32">
        <f t="shared" ref="R122:R133" si="20">IF(P$12=0,0,P122/P$12)</f>
        <v>0.56103209588627168</v>
      </c>
      <c r="S122" s="22"/>
      <c r="T122" s="22">
        <f>SUM(OSRRefT22x_0)</f>
        <v>3739860.2747141533</v>
      </c>
      <c r="U122" s="22"/>
      <c r="V122" s="32">
        <f t="shared" ref="V122:V133" si="21">IF(T$12=0,0,T122/T$12)</f>
        <v>0.45648099988137802</v>
      </c>
      <c r="W122" s="4"/>
      <c r="X122" s="22">
        <f t="shared" ref="X122:X133" si="22">+P122-T122</f>
        <v>-1101528.6247141524</v>
      </c>
      <c r="Y122" s="4"/>
      <c r="Z122" s="32">
        <f t="shared" ref="Z122:Z133" si="23">IF(T122=0,0,X122/T122)</f>
        <v>-0.29453737407297792</v>
      </c>
    </row>
    <row r="123" spans="1:26" s="25" customFormat="1" outlineLevel="1" collapsed="1" x14ac:dyDescent="0.25">
      <c r="A123" s="27"/>
      <c r="B123" s="13" t="str">
        <f>CONCATENATE("     ","*Benefits                                         ")</f>
        <v xml:space="preserve">     *Benefits                                         </v>
      </c>
      <c r="C123" s="13"/>
      <c r="D123" s="1">
        <f>SUM(OSRRefD22_0x_0)</f>
        <v>53608.380000000005</v>
      </c>
      <c r="E123" s="1"/>
      <c r="F123" s="5">
        <f t="shared" si="16"/>
        <v>0.12226342367408424</v>
      </c>
      <c r="G123" s="1"/>
      <c r="H123" s="1">
        <f>SUM(OSRRefH22_0x_0)</f>
        <v>47958.373976357689</v>
      </c>
      <c r="I123" s="1"/>
      <c r="J123" s="5">
        <f t="shared" si="17"/>
        <v>0.10120789679727701</v>
      </c>
      <c r="K123" s="1"/>
      <c r="L123" s="1">
        <f t="shared" si="18"/>
        <v>5650.006023642316</v>
      </c>
      <c r="M123" s="1"/>
      <c r="N123" s="5">
        <f t="shared" si="19"/>
        <v>0.11781062523987222</v>
      </c>
      <c r="O123" s="13"/>
      <c r="P123" s="1">
        <f>SUM(OSRRefP22_0x_0)</f>
        <v>463861.88999999996</v>
      </c>
      <c r="Q123" s="1"/>
      <c r="R123" s="5">
        <f t="shared" si="20"/>
        <v>9.8638625795383642E-2</v>
      </c>
      <c r="S123" s="1"/>
      <c r="T123" s="1">
        <f>SUM(OSRRefT22_0x_0)</f>
        <v>454406.93588353758</v>
      </c>
      <c r="U123" s="1"/>
      <c r="V123" s="5">
        <f t="shared" si="21"/>
        <v>5.5464139622436757E-2</v>
      </c>
      <c r="W123" s="1"/>
      <c r="X123" s="1">
        <f t="shared" si="22"/>
        <v>9454.9541164623806</v>
      </c>
      <c r="Y123" s="1"/>
      <c r="Z123" s="5">
        <f t="shared" si="23"/>
        <v>2.0807239876474162E-2</v>
      </c>
    </row>
    <row r="124" spans="1:26" s="24" customFormat="1" hidden="1" outlineLevel="2" x14ac:dyDescent="0.25">
      <c r="A124" s="26"/>
      <c r="B124" s="11" t="str">
        <f>CONCATENATE("          ", "6111", " - ", "F.I.C.A.")</f>
        <v xml:space="preserve">          6111 - F.I.C.A.</v>
      </c>
      <c r="C124" s="11"/>
      <c r="D124" s="7">
        <v>10750.32</v>
      </c>
      <c r="E124" s="2"/>
      <c r="F124" s="6">
        <f t="shared" si="16"/>
        <v>2.451801245984268E-2</v>
      </c>
      <c r="G124" s="2"/>
      <c r="H124" s="7">
        <v>8202.5828580115394</v>
      </c>
      <c r="I124" s="2"/>
      <c r="J124" s="6">
        <f t="shared" si="17"/>
        <v>1.7310139826133331E-2</v>
      </c>
      <c r="K124" s="2"/>
      <c r="L124" s="7">
        <f t="shared" si="18"/>
        <v>2547.7371419884603</v>
      </c>
      <c r="M124" s="2"/>
      <c r="N124" s="6">
        <f t="shared" si="19"/>
        <v>0.3106018172678453</v>
      </c>
      <c r="O124" s="11"/>
      <c r="P124" s="7">
        <v>89218.18</v>
      </c>
      <c r="Q124" s="2"/>
      <c r="R124" s="6">
        <f t="shared" si="20"/>
        <v>1.8971937253058624E-2</v>
      </c>
      <c r="S124" s="2"/>
      <c r="T124" s="7">
        <v>82030.178342216503</v>
      </c>
      <c r="U124" s="2"/>
      <c r="V124" s="6">
        <f t="shared" si="21"/>
        <v>1.0012464391591416E-2</v>
      </c>
      <c r="W124" s="2"/>
      <c r="X124" s="7">
        <f t="shared" si="22"/>
        <v>7188.0016577834904</v>
      </c>
      <c r="Y124" s="2"/>
      <c r="Z124" s="6">
        <f t="shared" si="23"/>
        <v>8.7626307818036459E-2</v>
      </c>
    </row>
    <row r="125" spans="1:26" s="24" customFormat="1" hidden="1" outlineLevel="2" x14ac:dyDescent="0.25">
      <c r="A125" s="26"/>
      <c r="B125" s="11" t="str">
        <f>CONCATENATE("          ", "6112", " - ", "COMPENSATION INSURANCE")</f>
        <v xml:space="preserve">          6112 - COMPENSATION INSURANCE</v>
      </c>
      <c r="C125" s="11"/>
      <c r="D125" s="7">
        <v>1599.53</v>
      </c>
      <c r="E125" s="2"/>
      <c r="F125" s="6">
        <f t="shared" si="16"/>
        <v>3.6480120098650241E-3</v>
      </c>
      <c r="G125" s="2"/>
      <c r="H125" s="7">
        <v>3460.1910390384601</v>
      </c>
      <c r="I125" s="2"/>
      <c r="J125" s="6">
        <f t="shared" si="17"/>
        <v>7.3021378445922002E-3</v>
      </c>
      <c r="K125" s="2"/>
      <c r="L125" s="7">
        <f t="shared" si="18"/>
        <v>-1860.6610390384601</v>
      </c>
      <c r="M125" s="2"/>
      <c r="N125" s="6">
        <f t="shared" si="19"/>
        <v>-0.53773361587443236</v>
      </c>
      <c r="O125" s="11"/>
      <c r="P125" s="7">
        <v>21578.33</v>
      </c>
      <c r="Q125" s="2"/>
      <c r="R125" s="6">
        <f t="shared" si="20"/>
        <v>4.5885572064549235E-3</v>
      </c>
      <c r="S125" s="2"/>
      <c r="T125" s="7">
        <v>32780.996110663502</v>
      </c>
      <c r="U125" s="2"/>
      <c r="V125" s="6">
        <f t="shared" si="21"/>
        <v>4.0011927672476931E-3</v>
      </c>
      <c r="W125" s="2"/>
      <c r="X125" s="7">
        <f t="shared" si="22"/>
        <v>-11202.6661106635</v>
      </c>
      <c r="Y125" s="2"/>
      <c r="Z125" s="6">
        <f t="shared" si="23"/>
        <v>-0.34174269972898491</v>
      </c>
    </row>
    <row r="126" spans="1:26" s="24" customFormat="1" hidden="1" outlineLevel="2" x14ac:dyDescent="0.25">
      <c r="A126" s="26"/>
      <c r="B126" s="11" t="str">
        <f>CONCATENATE("          ", "6113", " - ", "GROUP INSURANCE")</f>
        <v xml:space="preserve">          6113 - GROUP INSURANCE</v>
      </c>
      <c r="C126" s="11"/>
      <c r="D126" s="7">
        <v>18284.05</v>
      </c>
      <c r="E126" s="2"/>
      <c r="F126" s="6">
        <f t="shared" si="16"/>
        <v>4.1700020624166216E-2</v>
      </c>
      <c r="G126" s="2"/>
      <c r="H126" s="7">
        <v>18067.5</v>
      </c>
      <c r="I126" s="2"/>
      <c r="J126" s="6">
        <f t="shared" si="17"/>
        <v>3.8128350145612631E-2</v>
      </c>
      <c r="K126" s="2"/>
      <c r="L126" s="7">
        <f t="shared" si="18"/>
        <v>216.54999999999927</v>
      </c>
      <c r="M126" s="2"/>
      <c r="N126" s="6">
        <f t="shared" si="19"/>
        <v>1.1985609519856055E-2</v>
      </c>
      <c r="O126" s="11"/>
      <c r="P126" s="7">
        <v>164870.14000000001</v>
      </c>
      <c r="Q126" s="2"/>
      <c r="R126" s="6">
        <f t="shared" si="20"/>
        <v>3.5059064766653963E-2</v>
      </c>
      <c r="S126" s="2"/>
      <c r="T126" s="7">
        <v>175995</v>
      </c>
      <c r="U126" s="2"/>
      <c r="V126" s="6">
        <f t="shared" si="21"/>
        <v>2.1481651097316354E-2</v>
      </c>
      <c r="W126" s="2"/>
      <c r="X126" s="7">
        <f t="shared" si="22"/>
        <v>-11124.859999999986</v>
      </c>
      <c r="Y126" s="2"/>
      <c r="Z126" s="6">
        <f t="shared" si="23"/>
        <v>-6.321122759169287E-2</v>
      </c>
    </row>
    <row r="127" spans="1:26" s="24" customFormat="1" hidden="1" outlineLevel="2" x14ac:dyDescent="0.25">
      <c r="A127" s="26"/>
      <c r="B127" s="11" t="str">
        <f>CONCATENATE("          ", "6114", " - ", "STATE UNEMPLOYMENT INSURANCE")</f>
        <v xml:space="preserve">          6114 - STATE UNEMPLOYMENT INSURANCE</v>
      </c>
      <c r="C127" s="11"/>
      <c r="D127" s="7">
        <v>297.08999999999997</v>
      </c>
      <c r="E127" s="2"/>
      <c r="F127" s="6">
        <f t="shared" si="16"/>
        <v>6.775664651558895E-4</v>
      </c>
      <c r="G127" s="2"/>
      <c r="H127" s="7">
        <v>490.93312700000001</v>
      </c>
      <c r="I127" s="2"/>
      <c r="J127" s="6">
        <f t="shared" si="17"/>
        <v>1.0360298970159964E-3</v>
      </c>
      <c r="K127" s="2"/>
      <c r="L127" s="7">
        <f t="shared" si="18"/>
        <v>-193.84312700000004</v>
      </c>
      <c r="M127" s="2"/>
      <c r="N127" s="6">
        <f t="shared" si="19"/>
        <v>-0.39484629644884411</v>
      </c>
      <c r="O127" s="11"/>
      <c r="P127" s="7">
        <v>3533.43</v>
      </c>
      <c r="Q127" s="2"/>
      <c r="R127" s="6">
        <f t="shared" si="20"/>
        <v>7.513716626821454E-4</v>
      </c>
      <c r="S127" s="2"/>
      <c r="T127" s="7">
        <v>4647.64054485</v>
      </c>
      <c r="U127" s="2"/>
      <c r="V127" s="6">
        <f t="shared" si="21"/>
        <v>5.6728311946480851E-4</v>
      </c>
      <c r="W127" s="2"/>
      <c r="X127" s="7">
        <f t="shared" si="22"/>
        <v>-1114.2105448500001</v>
      </c>
      <c r="Y127" s="2"/>
      <c r="Z127" s="6">
        <f t="shared" si="23"/>
        <v>-0.23973681572354918</v>
      </c>
    </row>
    <row r="128" spans="1:26" s="24" customFormat="1" hidden="1" outlineLevel="2" x14ac:dyDescent="0.25">
      <c r="A128" s="26"/>
      <c r="B128" s="11" t="str">
        <f>CONCATENATE("          ", "6115", " - ", "P.E.R.S.")</f>
        <v xml:space="preserve">          6115 - P.E.R.S.</v>
      </c>
      <c r="C128" s="11"/>
      <c r="D128" s="7">
        <v>6172.91</v>
      </c>
      <c r="E128" s="2"/>
      <c r="F128" s="6">
        <f t="shared" si="16"/>
        <v>1.4078416669781688E-2</v>
      </c>
      <c r="G128" s="2"/>
      <c r="H128" s="7">
        <v>5924.7140176923103</v>
      </c>
      <c r="I128" s="2"/>
      <c r="J128" s="6">
        <f t="shared" si="17"/>
        <v>1.2503089557448003E-2</v>
      </c>
      <c r="K128" s="2"/>
      <c r="L128" s="7">
        <f t="shared" si="18"/>
        <v>248.19598230768952</v>
      </c>
      <c r="M128" s="2"/>
      <c r="N128" s="6">
        <f t="shared" si="19"/>
        <v>4.1891639253224651E-2</v>
      </c>
      <c r="O128" s="11"/>
      <c r="P128" s="7">
        <v>68345.05</v>
      </c>
      <c r="Q128" s="2"/>
      <c r="R128" s="6">
        <f t="shared" si="20"/>
        <v>1.4533338386382174E-2</v>
      </c>
      <c r="S128" s="2"/>
      <c r="T128" s="7">
        <v>51831.882613692302</v>
      </c>
      <c r="U128" s="2"/>
      <c r="V128" s="6">
        <f t="shared" si="21"/>
        <v>6.3265116510377887E-3</v>
      </c>
      <c r="W128" s="2"/>
      <c r="X128" s="7">
        <f t="shared" si="22"/>
        <v>16513.167386307701</v>
      </c>
      <c r="Y128" s="2"/>
      <c r="Z128" s="6">
        <f t="shared" si="23"/>
        <v>0.3185909242267318</v>
      </c>
    </row>
    <row r="129" spans="1:26" s="24" customFormat="1" hidden="1" outlineLevel="2" x14ac:dyDescent="0.25">
      <c r="A129" s="26"/>
      <c r="B129" s="11" t="str">
        <f>CONCATENATE("          ", "6116", " - ", "EDUCATIONAL BENEFITS")</f>
        <v xml:space="preserve">          6116 - EDUCATIONAL BENEFITS</v>
      </c>
      <c r="C129" s="11"/>
      <c r="D129" s="7"/>
      <c r="E129" s="2"/>
      <c r="F129" s="6">
        <f t="shared" si="16"/>
        <v>0</v>
      </c>
      <c r="G129" s="2"/>
      <c r="H129" s="7">
        <v>0</v>
      </c>
      <c r="I129" s="2"/>
      <c r="J129" s="6">
        <f t="shared" si="17"/>
        <v>0</v>
      </c>
      <c r="K129" s="2"/>
      <c r="L129" s="7">
        <f t="shared" si="18"/>
        <v>0</v>
      </c>
      <c r="M129" s="2"/>
      <c r="N129" s="6">
        <f t="shared" si="19"/>
        <v>0</v>
      </c>
      <c r="O129" s="11"/>
      <c r="P129" s="7">
        <v>0</v>
      </c>
      <c r="Q129" s="2"/>
      <c r="R129" s="6">
        <f t="shared" si="20"/>
        <v>0</v>
      </c>
      <c r="S129" s="2"/>
      <c r="T129" s="7">
        <v>0</v>
      </c>
      <c r="U129" s="2"/>
      <c r="V129" s="6">
        <f t="shared" si="21"/>
        <v>0</v>
      </c>
      <c r="W129" s="2"/>
      <c r="X129" s="7">
        <f t="shared" si="22"/>
        <v>0</v>
      </c>
      <c r="Y129" s="2"/>
      <c r="Z129" s="6">
        <f t="shared" si="23"/>
        <v>0</v>
      </c>
    </row>
    <row r="130" spans="1:26" s="24" customFormat="1" hidden="1" outlineLevel="2" x14ac:dyDescent="0.25">
      <c r="A130" s="26"/>
      <c r="B130" s="11" t="str">
        <f>CONCATENATE("          ", "6117", " - ", "RETIREMENT STAFF HOURLY")</f>
        <v xml:space="preserve">          6117 - RETIREMENT STAFF HOURLY</v>
      </c>
      <c r="C130" s="11"/>
      <c r="D130" s="7">
        <v>359.71</v>
      </c>
      <c r="E130" s="2"/>
      <c r="F130" s="6">
        <f t="shared" si="16"/>
        <v>8.2038248739851568E-4</v>
      </c>
      <c r="G130" s="2"/>
      <c r="H130" s="7"/>
      <c r="I130" s="2"/>
      <c r="J130" s="6">
        <f t="shared" si="17"/>
        <v>0</v>
      </c>
      <c r="K130" s="2"/>
      <c r="L130" s="7">
        <f t="shared" si="18"/>
        <v>359.71</v>
      </c>
      <c r="M130" s="2"/>
      <c r="N130" s="6">
        <f t="shared" si="19"/>
        <v>0</v>
      </c>
      <c r="O130" s="11"/>
      <c r="P130" s="7">
        <v>3760.97</v>
      </c>
      <c r="Q130" s="2"/>
      <c r="R130" s="6">
        <f t="shared" si="20"/>
        <v>7.9975725631968608E-4</v>
      </c>
      <c r="S130" s="2"/>
      <c r="T130" s="7"/>
      <c r="U130" s="2"/>
      <c r="V130" s="6">
        <f t="shared" si="21"/>
        <v>0</v>
      </c>
      <c r="W130" s="2"/>
      <c r="X130" s="7">
        <f t="shared" si="22"/>
        <v>3760.97</v>
      </c>
      <c r="Y130" s="2"/>
      <c r="Z130" s="6">
        <f t="shared" si="23"/>
        <v>0</v>
      </c>
    </row>
    <row r="131" spans="1:26" s="24" customFormat="1" hidden="1" outlineLevel="2" x14ac:dyDescent="0.25">
      <c r="A131" s="26"/>
      <c r="B131" s="11" t="str">
        <f>CONCATENATE("          ", "6118", " - ", "VACATION")</f>
        <v xml:space="preserve">          6118 - VACATION</v>
      </c>
      <c r="C131" s="11"/>
      <c r="D131" s="7">
        <v>8608.57</v>
      </c>
      <c r="E131" s="2"/>
      <c r="F131" s="6">
        <f t="shared" si="16"/>
        <v>1.9633371520236413E-2</v>
      </c>
      <c r="G131" s="2"/>
      <c r="H131" s="7">
        <v>4973.5475153846101</v>
      </c>
      <c r="I131" s="2"/>
      <c r="J131" s="6">
        <f t="shared" si="17"/>
        <v>1.0495816307315685E-2</v>
      </c>
      <c r="K131" s="2"/>
      <c r="L131" s="7">
        <f t="shared" si="18"/>
        <v>3635.0224846153897</v>
      </c>
      <c r="M131" s="2"/>
      <c r="N131" s="6">
        <f t="shared" si="19"/>
        <v>0.73087116859167867</v>
      </c>
      <c r="O131" s="11"/>
      <c r="P131" s="7">
        <v>57554.61</v>
      </c>
      <c r="Q131" s="2"/>
      <c r="R131" s="6">
        <f t="shared" si="20"/>
        <v>1.2238788658816627E-2</v>
      </c>
      <c r="S131" s="2"/>
      <c r="T131" s="7">
        <v>43552.103285384597</v>
      </c>
      <c r="U131" s="2"/>
      <c r="V131" s="6">
        <f t="shared" si="21"/>
        <v>5.3158958341482264E-3</v>
      </c>
      <c r="W131" s="2"/>
      <c r="X131" s="7">
        <f t="shared" si="22"/>
        <v>14002.506714615403</v>
      </c>
      <c r="Y131" s="2"/>
      <c r="Z131" s="6">
        <f t="shared" si="23"/>
        <v>0.32151160697936776</v>
      </c>
    </row>
    <row r="132" spans="1:26" s="24" customFormat="1" hidden="1" outlineLevel="2" x14ac:dyDescent="0.25">
      <c r="A132" s="26"/>
      <c r="B132" s="11" t="str">
        <f>CONCATENATE("          ", "6119", " - ", "SICK LEAVE")</f>
        <v xml:space="preserve">          6119 - SICK LEAVE</v>
      </c>
      <c r="C132" s="11"/>
      <c r="D132" s="7">
        <v>5736.04</v>
      </c>
      <c r="E132" s="2"/>
      <c r="F132" s="6">
        <f t="shared" si="16"/>
        <v>1.3082057109942404E-2</v>
      </c>
      <c r="G132" s="2"/>
      <c r="H132" s="7">
        <v>5213.9054192307703</v>
      </c>
      <c r="I132" s="2"/>
      <c r="J132" s="6">
        <f t="shared" si="17"/>
        <v>1.1003050308594881E-2</v>
      </c>
      <c r="K132" s="2"/>
      <c r="L132" s="7">
        <f t="shared" si="18"/>
        <v>522.13458076922961</v>
      </c>
      <c r="M132" s="2"/>
      <c r="N132" s="6">
        <f t="shared" si="19"/>
        <v>0.10014270278923901</v>
      </c>
      <c r="O132" s="11"/>
      <c r="P132" s="7">
        <v>40704.550000000003</v>
      </c>
      <c r="Q132" s="2"/>
      <c r="R132" s="6">
        <f t="shared" si="20"/>
        <v>8.6556817065085549E-3</v>
      </c>
      <c r="S132" s="2"/>
      <c r="T132" s="7">
        <v>47319.1349867307</v>
      </c>
      <c r="U132" s="2"/>
      <c r="V132" s="6">
        <f t="shared" si="21"/>
        <v>5.7756933322637809E-3</v>
      </c>
      <c r="W132" s="2"/>
      <c r="X132" s="7">
        <f t="shared" si="22"/>
        <v>-6614.584986730697</v>
      </c>
      <c r="Y132" s="2"/>
      <c r="Z132" s="6">
        <f t="shared" si="23"/>
        <v>-0.13978668436321942</v>
      </c>
    </row>
    <row r="133" spans="1:26" s="24" customFormat="1" hidden="1" outlineLevel="2" x14ac:dyDescent="0.25">
      <c r="A133" s="26"/>
      <c r="B133" s="11" t="str">
        <f>CONCATENATE("          ", "6156", " - ", "EMPLOYEE MEALS")</f>
        <v xml:space="preserve">          6156 - EMPLOYEE MEALS</v>
      </c>
      <c r="C133" s="11"/>
      <c r="D133" s="7">
        <v>1800.16</v>
      </c>
      <c r="E133" s="2"/>
      <c r="F133" s="6">
        <f t="shared" si="16"/>
        <v>4.1055843276953993E-3</v>
      </c>
      <c r="G133" s="2"/>
      <c r="H133" s="7">
        <v>1625</v>
      </c>
      <c r="I133" s="2"/>
      <c r="J133" s="6">
        <f t="shared" si="17"/>
        <v>3.4292829105643016E-3</v>
      </c>
      <c r="K133" s="2"/>
      <c r="L133" s="7">
        <f t="shared" si="18"/>
        <v>175.16000000000008</v>
      </c>
      <c r="M133" s="2"/>
      <c r="N133" s="6">
        <f t="shared" si="19"/>
        <v>0.10779076923076929</v>
      </c>
      <c r="O133" s="11"/>
      <c r="P133" s="7">
        <v>14296.63</v>
      </c>
      <c r="Q133" s="2"/>
      <c r="R133" s="6">
        <f t="shared" si="20"/>
        <v>3.0401288985069581E-3</v>
      </c>
      <c r="S133" s="2"/>
      <c r="T133" s="7">
        <v>16250</v>
      </c>
      <c r="U133" s="2"/>
      <c r="V133" s="6">
        <f t="shared" si="21"/>
        <v>1.9834474293666908E-3</v>
      </c>
      <c r="W133" s="2"/>
      <c r="X133" s="7">
        <f t="shared" si="22"/>
        <v>-1953.3700000000008</v>
      </c>
      <c r="Y133" s="2"/>
      <c r="Z133" s="6">
        <f t="shared" si="23"/>
        <v>-0.12020738461538466</v>
      </c>
    </row>
    <row r="134" spans="1:26" s="25" customFormat="1" outlineLevel="1" collapsed="1" x14ac:dyDescent="0.25">
      <c r="A134" s="27"/>
      <c r="B134" s="13" t="str">
        <f>CONCATENATE("     ","*Payroll                                          ")</f>
        <v xml:space="preserve">     *Payroll                                          </v>
      </c>
      <c r="C134" s="13"/>
      <c r="D134" s="1">
        <f>SUM(OSRRefD22_1x_0)</f>
        <v>125797.98</v>
      </c>
      <c r="E134" s="1"/>
      <c r="F134" s="5">
        <f t="shared" ref="F134:F144" si="24">IF(D$12=0,0,D134/D$12)</f>
        <v>0.286904616891687</v>
      </c>
      <c r="G134" s="1"/>
      <c r="H134" s="1">
        <f>SUM(OSRRefH22_1x_0)</f>
        <v>174025.9180546155</v>
      </c>
      <c r="I134" s="1"/>
      <c r="J134" s="5">
        <f t="shared" ref="J134:J144" si="25">IF(H$12=0,0,H134/H$12)</f>
        <v>0.36725175801843474</v>
      </c>
      <c r="K134" s="1"/>
      <c r="L134" s="1">
        <f t="shared" ref="L134:L144" si="26">+D134-H134</f>
        <v>-48227.938054615501</v>
      </c>
      <c r="M134" s="1"/>
      <c r="N134" s="5">
        <f t="shared" ref="N134:N144" si="27">IF(H134=0,0,L134/H134)</f>
        <v>-0.27713077795388996</v>
      </c>
      <c r="O134" s="13"/>
      <c r="P134" s="1">
        <f>SUM(OSRRefP22_1x_0)</f>
        <v>1248859.78</v>
      </c>
      <c r="Q134" s="1"/>
      <c r="R134" s="5">
        <f t="shared" ref="R134:R144" si="28">IF(P$12=0,0,P134/P$12)</f>
        <v>0.26556571075568453</v>
      </c>
      <c r="S134" s="1"/>
      <c r="T134" s="1">
        <f>SUM(OSRRefT22_1x_0)</f>
        <v>1661411.3388306154</v>
      </c>
      <c r="U134" s="1"/>
      <c r="V134" s="5">
        <f t="shared" ref="V134:V144" si="29">IF(T$12=0,0,T134/T$12)</f>
        <v>0.20278904917687729</v>
      </c>
      <c r="W134" s="1"/>
      <c r="X134" s="1">
        <f t="shared" ref="X134:X144" si="30">+P134-T134</f>
        <v>-412551.55883061537</v>
      </c>
      <c r="Y134" s="1"/>
      <c r="Z134" s="5">
        <f t="shared" ref="Z134:Z144" si="31">IF(T134=0,0,X134/T134)</f>
        <v>-0.24831391792534041</v>
      </c>
    </row>
    <row r="135" spans="1:26" s="24" customFormat="1" hidden="1" outlineLevel="2" x14ac:dyDescent="0.25">
      <c r="A135" s="26"/>
      <c r="B135" s="11" t="str">
        <f>CONCATENATE("          ", "6001", " - ", "ADMINISTRATIVE SALARIES")</f>
        <v xml:space="preserve">          6001 - ADMINISTRATIVE SALARIES</v>
      </c>
      <c r="C135" s="11"/>
      <c r="D135" s="7">
        <v>4416.46</v>
      </c>
      <c r="E135" s="2"/>
      <c r="F135" s="6">
        <f t="shared" si="24"/>
        <v>1.0072520753651688E-2</v>
      </c>
      <c r="G135" s="2"/>
      <c r="H135" s="7">
        <v>9699.6153846153902</v>
      </c>
      <c r="I135" s="2"/>
      <c r="J135" s="6">
        <f t="shared" si="25"/>
        <v>2.0469369401543473E-2</v>
      </c>
      <c r="K135" s="2"/>
      <c r="L135" s="7">
        <f t="shared" si="26"/>
        <v>-5283.1553846153902</v>
      </c>
      <c r="M135" s="2"/>
      <c r="N135" s="6">
        <f t="shared" si="27"/>
        <v>-0.54467679130814095</v>
      </c>
      <c r="O135" s="11"/>
      <c r="P135" s="7">
        <v>43192.79</v>
      </c>
      <c r="Q135" s="2"/>
      <c r="R135" s="6">
        <f t="shared" si="28"/>
        <v>9.1847973323882868E-3</v>
      </c>
      <c r="S135" s="2"/>
      <c r="T135" s="7">
        <v>85356.615384615405</v>
      </c>
      <c r="U135" s="2"/>
      <c r="V135" s="6">
        <f t="shared" si="29"/>
        <v>1.0418483653172723E-2</v>
      </c>
      <c r="W135" s="2"/>
      <c r="X135" s="7">
        <f t="shared" si="30"/>
        <v>-42163.825384615404</v>
      </c>
      <c r="Y135" s="2"/>
      <c r="Z135" s="6">
        <f t="shared" si="31"/>
        <v>-0.4939725549639703</v>
      </c>
    </row>
    <row r="136" spans="1:26" s="24" customFormat="1" hidden="1" outlineLevel="2" x14ac:dyDescent="0.25">
      <c r="A136" s="26"/>
      <c r="B136" s="11" t="str">
        <f>CONCATENATE("          ", "6002", " - ", "STAFF SALARIES")</f>
        <v xml:space="preserve">          6002 - STAFF SALARIES</v>
      </c>
      <c r="C136" s="11"/>
      <c r="D136" s="7">
        <v>68299.41</v>
      </c>
      <c r="E136" s="2"/>
      <c r="F136" s="6">
        <f t="shared" si="24"/>
        <v>0.1557689245882824</v>
      </c>
      <c r="G136" s="2"/>
      <c r="H136" s="7">
        <v>52124.122570000101</v>
      </c>
      <c r="I136" s="2"/>
      <c r="J136" s="6">
        <f t="shared" si="25"/>
        <v>0.10999899246612944</v>
      </c>
      <c r="K136" s="2"/>
      <c r="L136" s="7">
        <f t="shared" si="26"/>
        <v>16175.287429999902</v>
      </c>
      <c r="M136" s="2"/>
      <c r="N136" s="6">
        <f t="shared" si="27"/>
        <v>0.3103224885613623</v>
      </c>
      <c r="O136" s="11"/>
      <c r="P136" s="7">
        <v>603174.88</v>
      </c>
      <c r="Q136" s="2"/>
      <c r="R136" s="6">
        <f t="shared" si="28"/>
        <v>0.12826305105059491</v>
      </c>
      <c r="S136" s="2"/>
      <c r="T136" s="7">
        <v>455494.13131600001</v>
      </c>
      <c r="U136" s="2"/>
      <c r="V136" s="6">
        <f t="shared" si="29"/>
        <v>5.5596840852328251E-2</v>
      </c>
      <c r="W136" s="2"/>
      <c r="X136" s="7">
        <f t="shared" si="30"/>
        <v>147680.74868399999</v>
      </c>
      <c r="Y136" s="2"/>
      <c r="Z136" s="6">
        <f t="shared" si="31"/>
        <v>0.32422096912055748</v>
      </c>
    </row>
    <row r="137" spans="1:26" s="24" customFormat="1" hidden="1" outlineLevel="2" x14ac:dyDescent="0.25">
      <c r="A137" s="26"/>
      <c r="B137" s="11" t="str">
        <f>CONCATENATE("          ", "6003", " - ", "STAFF HOURLY-9 MONTH")</f>
        <v xml:space="preserve">          6003 - STAFF HOURLY-9 MONTH</v>
      </c>
      <c r="C137" s="11"/>
      <c r="D137" s="7"/>
      <c r="E137" s="2"/>
      <c r="F137" s="6">
        <f t="shared" si="24"/>
        <v>0</v>
      </c>
      <c r="G137" s="2"/>
      <c r="H137" s="7">
        <v>0</v>
      </c>
      <c r="I137" s="2"/>
      <c r="J137" s="6">
        <f t="shared" si="25"/>
        <v>0</v>
      </c>
      <c r="K137" s="2"/>
      <c r="L137" s="7">
        <f t="shared" si="26"/>
        <v>0</v>
      </c>
      <c r="M137" s="2"/>
      <c r="N137" s="6">
        <f t="shared" si="27"/>
        <v>0</v>
      </c>
      <c r="O137" s="11"/>
      <c r="P137" s="7"/>
      <c r="Q137" s="2"/>
      <c r="R137" s="6">
        <f t="shared" si="28"/>
        <v>0</v>
      </c>
      <c r="S137" s="2"/>
      <c r="T137" s="7">
        <v>0</v>
      </c>
      <c r="U137" s="2"/>
      <c r="V137" s="6">
        <f t="shared" si="29"/>
        <v>0</v>
      </c>
      <c r="W137" s="2"/>
      <c r="X137" s="7">
        <f t="shared" si="30"/>
        <v>0</v>
      </c>
      <c r="Y137" s="2"/>
      <c r="Z137" s="6">
        <f t="shared" si="31"/>
        <v>0</v>
      </c>
    </row>
    <row r="138" spans="1:26" s="24" customFormat="1" hidden="1" outlineLevel="2" x14ac:dyDescent="0.25">
      <c r="A138" s="26"/>
      <c r="B138" s="11" t="str">
        <f>CONCATENATE("          ", "6004", " - ", "STAFF HOURLY")</f>
        <v xml:space="preserve">          6004 - STAFF HOURLY</v>
      </c>
      <c r="C138" s="11"/>
      <c r="D138" s="7">
        <v>17783.84</v>
      </c>
      <c r="E138" s="2"/>
      <c r="F138" s="6">
        <f t="shared" si="24"/>
        <v>4.0559202954316587E-2</v>
      </c>
      <c r="G138" s="2"/>
      <c r="H138" s="7">
        <v>34251.575100000002</v>
      </c>
      <c r="I138" s="2"/>
      <c r="J138" s="6">
        <f t="shared" si="25"/>
        <v>7.2282056092516783E-2</v>
      </c>
      <c r="K138" s="2"/>
      <c r="L138" s="7">
        <f t="shared" si="26"/>
        <v>-16467.735100000002</v>
      </c>
      <c r="M138" s="2"/>
      <c r="N138" s="6">
        <f t="shared" si="27"/>
        <v>-0.4807876733236715</v>
      </c>
      <c r="O138" s="11"/>
      <c r="P138" s="7">
        <v>155291.97</v>
      </c>
      <c r="Q138" s="2"/>
      <c r="R138" s="6">
        <f t="shared" si="28"/>
        <v>3.3022300059739641E-2</v>
      </c>
      <c r="S138" s="2"/>
      <c r="T138" s="7">
        <v>281442.54587999999</v>
      </c>
      <c r="U138" s="2"/>
      <c r="V138" s="6">
        <f t="shared" si="29"/>
        <v>3.4352399639390949E-2</v>
      </c>
      <c r="W138" s="2"/>
      <c r="X138" s="7">
        <f t="shared" si="30"/>
        <v>-126150.57587999999</v>
      </c>
      <c r="Y138" s="2"/>
      <c r="Z138" s="6">
        <f t="shared" si="31"/>
        <v>-0.4482285202671078</v>
      </c>
    </row>
    <row r="139" spans="1:26" s="24" customFormat="1" hidden="1" outlineLevel="2" x14ac:dyDescent="0.25">
      <c r="A139" s="26"/>
      <c r="B139" s="11" t="str">
        <f>CONCATENATE("          ", "6005", " - ", "TEMPORARY WAGES-HOURLY")</f>
        <v xml:space="preserve">          6005 - TEMPORARY WAGES-HOURLY</v>
      </c>
      <c r="C139" s="11"/>
      <c r="D139" s="7">
        <v>16005.07</v>
      </c>
      <c r="E139" s="2"/>
      <c r="F139" s="6">
        <f t="shared" si="24"/>
        <v>3.6502402317387231E-2</v>
      </c>
      <c r="G139" s="2"/>
      <c r="H139" s="7">
        <v>7135</v>
      </c>
      <c r="I139" s="2"/>
      <c r="J139" s="6">
        <f t="shared" si="25"/>
        <v>1.5057189887308487E-2</v>
      </c>
      <c r="K139" s="2"/>
      <c r="L139" s="7">
        <f t="shared" si="26"/>
        <v>8870.07</v>
      </c>
      <c r="M139" s="2"/>
      <c r="N139" s="6">
        <f t="shared" si="27"/>
        <v>1.243177295024527</v>
      </c>
      <c r="O139" s="11"/>
      <c r="P139" s="7">
        <v>152232.04999999999</v>
      </c>
      <c r="Q139" s="2"/>
      <c r="R139" s="6">
        <f t="shared" si="28"/>
        <v>3.2371618660058776E-2</v>
      </c>
      <c r="S139" s="2"/>
      <c r="T139" s="7">
        <v>46246.44</v>
      </c>
      <c r="U139" s="2"/>
      <c r="V139" s="6">
        <f t="shared" si="29"/>
        <v>5.6447620021760556E-3</v>
      </c>
      <c r="W139" s="2"/>
      <c r="X139" s="7">
        <f t="shared" si="30"/>
        <v>105985.60999999999</v>
      </c>
      <c r="Y139" s="2"/>
      <c r="Z139" s="6">
        <f t="shared" si="31"/>
        <v>2.2917571601187028</v>
      </c>
    </row>
    <row r="140" spans="1:26" s="24" customFormat="1" hidden="1" outlineLevel="2" x14ac:dyDescent="0.25">
      <c r="A140" s="26"/>
      <c r="B140" s="11" t="str">
        <f>CONCATENATE("          ", "6006", " - ", "TEMPORARY PART TIME")</f>
        <v xml:space="preserve">          6006 - TEMPORARY PART TIME</v>
      </c>
      <c r="C140" s="11"/>
      <c r="D140" s="7">
        <v>2893.47</v>
      </c>
      <c r="E140" s="2"/>
      <c r="F140" s="6">
        <f t="shared" si="24"/>
        <v>6.5990717962052291E-3</v>
      </c>
      <c r="G140" s="2"/>
      <c r="H140" s="7">
        <v>0</v>
      </c>
      <c r="I140" s="2"/>
      <c r="J140" s="6">
        <f t="shared" si="25"/>
        <v>0</v>
      </c>
      <c r="K140" s="2"/>
      <c r="L140" s="7">
        <f t="shared" si="26"/>
        <v>2893.47</v>
      </c>
      <c r="M140" s="2"/>
      <c r="N140" s="6">
        <f t="shared" si="27"/>
        <v>0</v>
      </c>
      <c r="O140" s="11"/>
      <c r="P140" s="7">
        <v>16946.759999999998</v>
      </c>
      <c r="Q140" s="2"/>
      <c r="R140" s="6">
        <f t="shared" si="28"/>
        <v>3.6036698726945979E-3</v>
      </c>
      <c r="S140" s="2"/>
      <c r="T140" s="7">
        <v>0</v>
      </c>
      <c r="U140" s="2"/>
      <c r="V140" s="6">
        <f t="shared" si="29"/>
        <v>0</v>
      </c>
      <c r="W140" s="2"/>
      <c r="X140" s="7">
        <f t="shared" si="30"/>
        <v>16946.759999999998</v>
      </c>
      <c r="Y140" s="2"/>
      <c r="Z140" s="6">
        <f t="shared" si="31"/>
        <v>0</v>
      </c>
    </row>
    <row r="141" spans="1:26" s="24" customFormat="1" hidden="1" outlineLevel="2" x14ac:dyDescent="0.25">
      <c r="A141" s="26"/>
      <c r="B141" s="11" t="str">
        <f>CONCATENATE("          ", "6007", " - ", "STUDENT HOURLY")</f>
        <v xml:space="preserve">          6007 - STUDENT HOURLY</v>
      </c>
      <c r="C141" s="11"/>
      <c r="D141" s="7">
        <v>14809.4</v>
      </c>
      <c r="E141" s="2"/>
      <c r="F141" s="6">
        <f t="shared" si="24"/>
        <v>3.3775464704566396E-2</v>
      </c>
      <c r="G141" s="2"/>
      <c r="H141" s="7">
        <v>0</v>
      </c>
      <c r="I141" s="2"/>
      <c r="J141" s="6">
        <f t="shared" si="25"/>
        <v>0</v>
      </c>
      <c r="K141" s="2"/>
      <c r="L141" s="7">
        <f t="shared" si="26"/>
        <v>14809.4</v>
      </c>
      <c r="M141" s="2"/>
      <c r="N141" s="6">
        <f t="shared" si="27"/>
        <v>0</v>
      </c>
      <c r="O141" s="11"/>
      <c r="P141" s="7">
        <v>268019.38</v>
      </c>
      <c r="Q141" s="2"/>
      <c r="R141" s="6">
        <f t="shared" si="28"/>
        <v>5.6993393722710728E-2</v>
      </c>
      <c r="S141" s="2"/>
      <c r="T141" s="7">
        <v>151898.36249999999</v>
      </c>
      <c r="U141" s="2"/>
      <c r="V141" s="6">
        <f t="shared" si="29"/>
        <v>1.8540456407731366E-2</v>
      </c>
      <c r="W141" s="2"/>
      <c r="X141" s="7">
        <f t="shared" si="30"/>
        <v>116121.01750000002</v>
      </c>
      <c r="Y141" s="2"/>
      <c r="Z141" s="6">
        <f t="shared" si="31"/>
        <v>0.76446523575920722</v>
      </c>
    </row>
    <row r="142" spans="1:26" s="24" customFormat="1" hidden="1" outlineLevel="2" x14ac:dyDescent="0.25">
      <c r="A142" s="26"/>
      <c r="B142" s="11" t="str">
        <f>CONCATENATE("          ", "6008", " - ", "STUDENT HOURLY-FICA EXEMPT")</f>
        <v xml:space="preserve">          6008 - STUDENT HOURLY-FICA EXEMPT</v>
      </c>
      <c r="C142" s="11"/>
      <c r="D142" s="7">
        <v>1590.33</v>
      </c>
      <c r="E142" s="2"/>
      <c r="F142" s="6">
        <f t="shared" si="24"/>
        <v>3.6270297772774776E-3</v>
      </c>
      <c r="G142" s="2"/>
      <c r="H142" s="7">
        <v>70815.604999999996</v>
      </c>
      <c r="I142" s="2"/>
      <c r="J142" s="6">
        <f t="shared" si="25"/>
        <v>0.14944415017093657</v>
      </c>
      <c r="K142" s="2"/>
      <c r="L142" s="7">
        <f t="shared" si="26"/>
        <v>-69225.274999999994</v>
      </c>
      <c r="M142" s="2"/>
      <c r="N142" s="6">
        <f t="shared" si="27"/>
        <v>-0.97754266167746495</v>
      </c>
      <c r="O142" s="11"/>
      <c r="P142" s="7">
        <v>10001.950000000001</v>
      </c>
      <c r="Q142" s="2"/>
      <c r="R142" s="6">
        <f t="shared" si="28"/>
        <v>2.1268800574975829E-3</v>
      </c>
      <c r="S142" s="2"/>
      <c r="T142" s="7">
        <v>640973.24375000002</v>
      </c>
      <c r="U142" s="2"/>
      <c r="V142" s="6">
        <f t="shared" si="29"/>
        <v>7.8236106622077958E-2</v>
      </c>
      <c r="W142" s="2"/>
      <c r="X142" s="7">
        <f t="shared" si="30"/>
        <v>-630971.29375000007</v>
      </c>
      <c r="Y142" s="2"/>
      <c r="Z142" s="6">
        <f t="shared" si="31"/>
        <v>-0.98439568250698928</v>
      </c>
    </row>
    <row r="143" spans="1:26" s="24" customFormat="1" hidden="1" outlineLevel="2" x14ac:dyDescent="0.25">
      <c r="A143" s="26"/>
      <c r="B143" s="11" t="str">
        <f>CONCATENATE("          ", "6009", " - ", "TEMPORARY-SEASONAL")</f>
        <v xml:space="preserve">          6009 - TEMPORARY-SEASONAL</v>
      </c>
      <c r="C143" s="11"/>
      <c r="D143" s="7"/>
      <c r="E143" s="2"/>
      <c r="F143" s="6">
        <f t="shared" si="24"/>
        <v>0</v>
      </c>
      <c r="G143" s="2"/>
      <c r="H143" s="7">
        <v>0</v>
      </c>
      <c r="I143" s="2"/>
      <c r="J143" s="6">
        <f t="shared" si="25"/>
        <v>0</v>
      </c>
      <c r="K143" s="2"/>
      <c r="L143" s="7">
        <f t="shared" si="26"/>
        <v>0</v>
      </c>
      <c r="M143" s="2"/>
      <c r="N143" s="6">
        <f t="shared" si="27"/>
        <v>0</v>
      </c>
      <c r="O143" s="11"/>
      <c r="P143" s="7"/>
      <c r="Q143" s="2"/>
      <c r="R143" s="6">
        <f t="shared" si="28"/>
        <v>0</v>
      </c>
      <c r="S143" s="2"/>
      <c r="T143" s="7">
        <v>0</v>
      </c>
      <c r="U143" s="2"/>
      <c r="V143" s="6">
        <f t="shared" si="29"/>
        <v>0</v>
      </c>
      <c r="W143" s="2"/>
      <c r="X143" s="7">
        <f t="shared" si="30"/>
        <v>0</v>
      </c>
      <c r="Y143" s="2"/>
      <c r="Z143" s="6">
        <f t="shared" si="31"/>
        <v>0</v>
      </c>
    </row>
    <row r="144" spans="1:26" s="24" customFormat="1" hidden="1" outlineLevel="2" x14ac:dyDescent="0.25">
      <c r="A144" s="26"/>
      <c r="B144" s="11" t="str">
        <f>CONCATENATE("          ", "6010", " - ", "GRATUITY")</f>
        <v xml:space="preserve">          6010 - GRATUITY</v>
      </c>
      <c r="C144" s="11"/>
      <c r="D144" s="7"/>
      <c r="E144" s="2"/>
      <c r="F144" s="6">
        <f t="shared" si="24"/>
        <v>0</v>
      </c>
      <c r="G144" s="2"/>
      <c r="H144" s="7">
        <v>0</v>
      </c>
      <c r="I144" s="2"/>
      <c r="J144" s="6">
        <f t="shared" si="25"/>
        <v>0</v>
      </c>
      <c r="K144" s="2"/>
      <c r="L144" s="7">
        <f t="shared" si="26"/>
        <v>0</v>
      </c>
      <c r="M144" s="2"/>
      <c r="N144" s="6">
        <f t="shared" si="27"/>
        <v>0</v>
      </c>
      <c r="O144" s="11"/>
      <c r="P144" s="7"/>
      <c r="Q144" s="2"/>
      <c r="R144" s="6">
        <f t="shared" si="28"/>
        <v>0</v>
      </c>
      <c r="S144" s="2"/>
      <c r="T144" s="7">
        <v>0</v>
      </c>
      <c r="U144" s="2"/>
      <c r="V144" s="6">
        <f t="shared" si="29"/>
        <v>0</v>
      </c>
      <c r="W144" s="2"/>
      <c r="X144" s="7">
        <f t="shared" si="30"/>
        <v>0</v>
      </c>
      <c r="Y144" s="2"/>
      <c r="Z144" s="6">
        <f t="shared" si="31"/>
        <v>0</v>
      </c>
    </row>
    <row r="145" spans="1:26" s="25" customFormat="1" outlineLevel="1" collapsed="1" x14ac:dyDescent="0.25">
      <c r="A145" s="27"/>
      <c r="B145" s="13" t="str">
        <f>CONCATENATE("     ","Advertising/Promo                                 ")</f>
        <v xml:space="preserve">     Advertising/Promo                                 </v>
      </c>
      <c r="C145" s="13"/>
      <c r="D145" s="1">
        <f>SUM(OSRRefD22_2x_0)</f>
        <v>1313.83</v>
      </c>
      <c r="E145" s="1"/>
      <c r="F145" s="5">
        <f t="shared" ref="F145:F149" si="32">IF(D$12=0,0,D145/D$12)</f>
        <v>2.9964224609234989E-3</v>
      </c>
      <c r="G145" s="1"/>
      <c r="H145" s="1">
        <f>SUM(OSRRefH22_2x_0)</f>
        <v>880</v>
      </c>
      <c r="I145" s="1"/>
      <c r="J145" s="5">
        <f t="shared" ref="J145:J149" si="33">IF(H$12=0,0,H145/H$12)</f>
        <v>1.8570885915671295E-3</v>
      </c>
      <c r="K145" s="1"/>
      <c r="L145" s="1">
        <f t="shared" ref="L145:L149" si="34">+D145-H145</f>
        <v>433.82999999999993</v>
      </c>
      <c r="M145" s="1"/>
      <c r="N145" s="5">
        <f t="shared" ref="N145:N149" si="35">IF(H145=0,0,L145/H145)</f>
        <v>0.49298863636363627</v>
      </c>
      <c r="O145" s="13"/>
      <c r="P145" s="1">
        <f>SUM(OSRRefP22_2x_0)</f>
        <v>17536.05</v>
      </c>
      <c r="Q145" s="1"/>
      <c r="R145" s="5">
        <f t="shared" ref="R145:R149" si="36">IF(P$12=0,0,P145/P$12)</f>
        <v>3.7289803520593971E-3</v>
      </c>
      <c r="S145" s="1"/>
      <c r="T145" s="1">
        <f>SUM(OSRRefT22_2x_0)</f>
        <v>12600</v>
      </c>
      <c r="U145" s="1"/>
      <c r="V145" s="5">
        <f t="shared" ref="V145:V149" si="37">IF(T$12=0,0,T145/T$12)</f>
        <v>1.5379346221550956E-3</v>
      </c>
      <c r="W145" s="1"/>
      <c r="X145" s="1">
        <f t="shared" ref="X145:X149" si="38">+P145-T145</f>
        <v>4936.0499999999993</v>
      </c>
      <c r="Y145" s="1"/>
      <c r="Z145" s="5">
        <f t="shared" ref="Z145:Z149" si="39">IF(T145=0,0,X145/T145)</f>
        <v>0.39174999999999993</v>
      </c>
    </row>
    <row r="146" spans="1:26" s="24" customFormat="1" hidden="1" outlineLevel="2" x14ac:dyDescent="0.25">
      <c r="A146" s="26"/>
      <c r="B146" s="11" t="str">
        <f>CONCATENATE("          ", "6362", " - ", "ADVERTISING EXPENSE")</f>
        <v xml:space="preserve">          6362 - ADVERTISING EXPENSE</v>
      </c>
      <c r="C146" s="11"/>
      <c r="D146" s="7">
        <v>1313.83</v>
      </c>
      <c r="E146" s="2"/>
      <c r="F146" s="6">
        <f t="shared" si="32"/>
        <v>2.9964224609234989E-3</v>
      </c>
      <c r="G146" s="2"/>
      <c r="H146" s="7">
        <v>880</v>
      </c>
      <c r="I146" s="2"/>
      <c r="J146" s="6">
        <f t="shared" si="33"/>
        <v>1.8570885915671295E-3</v>
      </c>
      <c r="K146" s="2"/>
      <c r="L146" s="7">
        <f t="shared" si="34"/>
        <v>433.82999999999993</v>
      </c>
      <c r="M146" s="2"/>
      <c r="N146" s="6">
        <f t="shared" si="35"/>
        <v>0.49298863636363627</v>
      </c>
      <c r="O146" s="11"/>
      <c r="P146" s="7">
        <v>17536.05</v>
      </c>
      <c r="Q146" s="2"/>
      <c r="R146" s="6">
        <f t="shared" si="36"/>
        <v>3.7289803520593971E-3</v>
      </c>
      <c r="S146" s="2"/>
      <c r="T146" s="7">
        <v>12600</v>
      </c>
      <c r="U146" s="2"/>
      <c r="V146" s="6">
        <f t="shared" si="37"/>
        <v>1.5379346221550956E-3</v>
      </c>
      <c r="W146" s="2"/>
      <c r="X146" s="7">
        <f t="shared" si="38"/>
        <v>4936.0499999999993</v>
      </c>
      <c r="Y146" s="2"/>
      <c r="Z146" s="6">
        <f t="shared" si="39"/>
        <v>0.39174999999999993</v>
      </c>
    </row>
    <row r="147" spans="1:26" s="25" customFormat="1" outlineLevel="1" collapsed="1" x14ac:dyDescent="0.25">
      <c r="A147" s="27"/>
      <c r="B147" s="13" t="str">
        <f>CONCATENATE("     ","Bad Debts/Over/Short                              ")</f>
        <v xml:space="preserve">     Bad Debts/Over/Short                              </v>
      </c>
      <c r="C147" s="13"/>
      <c r="D147" s="1">
        <f>SUM(OSRRefD22_3x_0)</f>
        <v>-1.25</v>
      </c>
      <c r="E147" s="1"/>
      <c r="F147" s="5">
        <f t="shared" si="32"/>
        <v>-2.8508468189601196E-6</v>
      </c>
      <c r="G147" s="1"/>
      <c r="H147" s="1">
        <f>SUM(OSRRefH22_3x_0)</f>
        <v>110</v>
      </c>
      <c r="I147" s="1"/>
      <c r="J147" s="5">
        <f t="shared" si="33"/>
        <v>2.3213607394589119E-4</v>
      </c>
      <c r="K147" s="1"/>
      <c r="L147" s="1">
        <f t="shared" si="34"/>
        <v>-111.25</v>
      </c>
      <c r="M147" s="1"/>
      <c r="N147" s="5">
        <f t="shared" si="35"/>
        <v>-1.0113636363636365</v>
      </c>
      <c r="O147" s="13"/>
      <c r="P147" s="1">
        <f>SUM(OSRRefP22_3x_0)</f>
        <v>5182.7</v>
      </c>
      <c r="Q147" s="1"/>
      <c r="R147" s="5">
        <f t="shared" si="36"/>
        <v>1.1020832211711439E-3</v>
      </c>
      <c r="S147" s="1"/>
      <c r="T147" s="1">
        <f>SUM(OSRRefT22_3x_0)</f>
        <v>1100</v>
      </c>
      <c r="U147" s="1"/>
      <c r="V147" s="5">
        <f t="shared" si="37"/>
        <v>1.3426413368020676E-4</v>
      </c>
      <c r="W147" s="1"/>
      <c r="X147" s="1">
        <f t="shared" si="38"/>
        <v>4082.7</v>
      </c>
      <c r="Y147" s="1"/>
      <c r="Z147" s="5">
        <f t="shared" si="39"/>
        <v>3.7115454545454543</v>
      </c>
    </row>
    <row r="148" spans="1:26" s="24" customFormat="1" hidden="1" outlineLevel="2" x14ac:dyDescent="0.25">
      <c r="A148" s="26"/>
      <c r="B148" s="11" t="str">
        <f>CONCATENATE("          ", "6272", " - ", "CASH (OVER/SHORT)")</f>
        <v xml:space="preserve">          6272 - CASH (OVER/SHORT)</v>
      </c>
      <c r="C148" s="11"/>
      <c r="D148" s="7">
        <v>-1.25</v>
      </c>
      <c r="E148" s="2"/>
      <c r="F148" s="6">
        <f t="shared" si="32"/>
        <v>-2.8508468189601196E-6</v>
      </c>
      <c r="G148" s="2"/>
      <c r="H148" s="7">
        <v>60</v>
      </c>
      <c r="I148" s="2"/>
      <c r="J148" s="6">
        <f t="shared" si="33"/>
        <v>1.2661967669775882E-4</v>
      </c>
      <c r="K148" s="2"/>
      <c r="L148" s="7">
        <f t="shared" si="34"/>
        <v>-61.25</v>
      </c>
      <c r="M148" s="2"/>
      <c r="N148" s="6">
        <f t="shared" si="35"/>
        <v>-1.0208333333333333</v>
      </c>
      <c r="O148" s="11"/>
      <c r="P148" s="7">
        <v>-166.72</v>
      </c>
      <c r="Q148" s="2"/>
      <c r="R148" s="6">
        <f t="shared" si="36"/>
        <v>-3.5452431094536268E-5</v>
      </c>
      <c r="S148" s="2"/>
      <c r="T148" s="7">
        <v>600</v>
      </c>
      <c r="U148" s="2"/>
      <c r="V148" s="6">
        <f t="shared" si="37"/>
        <v>7.3234982007385507E-5</v>
      </c>
      <c r="W148" s="2"/>
      <c r="X148" s="7">
        <f t="shared" si="38"/>
        <v>-766.72</v>
      </c>
      <c r="Y148" s="2"/>
      <c r="Z148" s="6">
        <f t="shared" si="39"/>
        <v>-1.2778666666666667</v>
      </c>
    </row>
    <row r="149" spans="1:26" s="24" customFormat="1" hidden="1" outlineLevel="2" x14ac:dyDescent="0.25">
      <c r="A149" s="26"/>
      <c r="B149" s="11" t="str">
        <f>CONCATENATE("          ", "6342", " - ", "BAD DEBT")</f>
        <v xml:space="preserve">          6342 - BAD DEBT</v>
      </c>
      <c r="C149" s="11"/>
      <c r="D149" s="7"/>
      <c r="E149" s="2"/>
      <c r="F149" s="6">
        <f t="shared" si="32"/>
        <v>0</v>
      </c>
      <c r="G149" s="2"/>
      <c r="H149" s="7">
        <v>50</v>
      </c>
      <c r="I149" s="2"/>
      <c r="J149" s="6">
        <f t="shared" si="33"/>
        <v>1.0551639724813236E-4</v>
      </c>
      <c r="K149" s="2"/>
      <c r="L149" s="7">
        <f t="shared" si="34"/>
        <v>-50</v>
      </c>
      <c r="M149" s="2"/>
      <c r="N149" s="6">
        <f t="shared" si="35"/>
        <v>-1</v>
      </c>
      <c r="O149" s="11"/>
      <c r="P149" s="7">
        <v>5349.42</v>
      </c>
      <c r="Q149" s="2"/>
      <c r="R149" s="6">
        <f t="shared" si="36"/>
        <v>1.1375356522656803E-3</v>
      </c>
      <c r="S149" s="2"/>
      <c r="T149" s="7">
        <v>500</v>
      </c>
      <c r="U149" s="2"/>
      <c r="V149" s="6">
        <f t="shared" si="37"/>
        <v>6.1029151672821256E-5</v>
      </c>
      <c r="W149" s="2"/>
      <c r="X149" s="7">
        <f t="shared" si="38"/>
        <v>4849.42</v>
      </c>
      <c r="Y149" s="2"/>
      <c r="Z149" s="6">
        <f t="shared" si="39"/>
        <v>9.6988400000000006</v>
      </c>
    </row>
    <row r="150" spans="1:26" s="25" customFormat="1" outlineLevel="1" collapsed="1" x14ac:dyDescent="0.25">
      <c r="A150" s="27"/>
      <c r="B150" s="13" t="str">
        <f>CONCATENATE("     ","Bank/card Fees                                    ")</f>
        <v xml:space="preserve">     Bank/card Fees                                    </v>
      </c>
      <c r="C150" s="13"/>
      <c r="D150" s="1">
        <f>SUM(OSRRefD22_4x_0)</f>
        <v>5310.85</v>
      </c>
      <c r="E150" s="1"/>
      <c r="F150" s="5">
        <f t="shared" ref="F150:F154" si="40">IF(D$12=0,0,D150/D$12)</f>
        <v>1.2112335862779482E-2</v>
      </c>
      <c r="G150" s="1"/>
      <c r="H150" s="1">
        <f>SUM(OSRRefH22_4x_0)</f>
        <v>19252</v>
      </c>
      <c r="I150" s="1"/>
      <c r="J150" s="5">
        <f t="shared" ref="J150:J154" si="41">IF(H$12=0,0,H150/H$12)</f>
        <v>4.0628033596420886E-2</v>
      </c>
      <c r="K150" s="1"/>
      <c r="L150" s="1">
        <f t="shared" ref="L150:L154" si="42">+D150-H150</f>
        <v>-13941.15</v>
      </c>
      <c r="M150" s="1"/>
      <c r="N150" s="5">
        <f t="shared" ref="N150:N154" si="43">IF(H150=0,0,L150/H150)</f>
        <v>-0.72414034905464364</v>
      </c>
      <c r="O150" s="13"/>
      <c r="P150" s="1">
        <f>SUM(OSRRefP22_4x_0)</f>
        <v>74635.86</v>
      </c>
      <c r="Q150" s="1"/>
      <c r="R150" s="5">
        <f t="shared" ref="R150:R154" si="44">IF(P$12=0,0,P150/P$12)</f>
        <v>1.5871057364632051E-2</v>
      </c>
      <c r="S150" s="1"/>
      <c r="T150" s="1">
        <f>SUM(OSRRefT22_4x_0)</f>
        <v>187983</v>
      </c>
      <c r="U150" s="1"/>
      <c r="V150" s="5">
        <f t="shared" ref="V150:V154" si="45">IF(T$12=0,0,T150/T$12)</f>
        <v>2.2944886037823915E-2</v>
      </c>
      <c r="W150" s="1"/>
      <c r="X150" s="1">
        <f t="shared" ref="X150:X154" si="46">+P150-T150</f>
        <v>-113347.14</v>
      </c>
      <c r="Y150" s="1"/>
      <c r="Z150" s="5">
        <f t="shared" ref="Z150:Z154" si="47">IF(T150=0,0,X150/T150)</f>
        <v>-0.60296484256555116</v>
      </c>
    </row>
    <row r="151" spans="1:26" s="24" customFormat="1" hidden="1" outlineLevel="2" x14ac:dyDescent="0.25">
      <c r="A151" s="26"/>
      <c r="B151" s="11" t="str">
        <f>CONCATENATE("          ", "6381", " - ", "BANK/CREDIT CARD FEES")</f>
        <v xml:space="preserve">          6381 - BANK/CREDIT CARD FEES</v>
      </c>
      <c r="C151" s="11"/>
      <c r="D151" s="7">
        <v>5310.85</v>
      </c>
      <c r="E151" s="2"/>
      <c r="F151" s="6">
        <f t="shared" si="40"/>
        <v>1.2112335862779482E-2</v>
      </c>
      <c r="G151" s="2"/>
      <c r="H151" s="7">
        <v>19252</v>
      </c>
      <c r="I151" s="2"/>
      <c r="J151" s="6">
        <f t="shared" si="41"/>
        <v>4.0628033596420886E-2</v>
      </c>
      <c r="K151" s="2"/>
      <c r="L151" s="7">
        <f t="shared" si="42"/>
        <v>-13941.15</v>
      </c>
      <c r="M151" s="2"/>
      <c r="N151" s="6">
        <f t="shared" si="43"/>
        <v>-0.72414034905464364</v>
      </c>
      <c r="O151" s="11"/>
      <c r="P151" s="7">
        <v>74635.86</v>
      </c>
      <c r="Q151" s="2"/>
      <c r="R151" s="6">
        <f t="shared" si="44"/>
        <v>1.5871057364632051E-2</v>
      </c>
      <c r="S151" s="2"/>
      <c r="T151" s="7">
        <v>187983</v>
      </c>
      <c r="U151" s="2"/>
      <c r="V151" s="6">
        <f t="shared" si="45"/>
        <v>2.2944886037823915E-2</v>
      </c>
      <c r="W151" s="2"/>
      <c r="X151" s="7">
        <f t="shared" si="46"/>
        <v>-113347.14</v>
      </c>
      <c r="Y151" s="2"/>
      <c r="Z151" s="6">
        <f t="shared" si="47"/>
        <v>-0.60296484256555116</v>
      </c>
    </row>
    <row r="152" spans="1:26" s="25" customFormat="1" outlineLevel="1" collapsed="1" x14ac:dyDescent="0.25">
      <c r="A152" s="27"/>
      <c r="B152" s="13" t="str">
        <f>CONCATENATE("     ","Depreciation                                      ")</f>
        <v xml:space="preserve">     Depreciation                                      </v>
      </c>
      <c r="C152" s="13"/>
      <c r="D152" s="1">
        <f>SUM(OSRRefD22_5x_0)</f>
        <v>30735.85</v>
      </c>
      <c r="E152" s="1"/>
      <c r="F152" s="5">
        <f t="shared" si="40"/>
        <v>7.0098560160428314E-2</v>
      </c>
      <c r="G152" s="1"/>
      <c r="H152" s="1">
        <f>SUM(OSRRefH22_5x_0)</f>
        <v>30294</v>
      </c>
      <c r="I152" s="1"/>
      <c r="J152" s="5">
        <f t="shared" si="41"/>
        <v>6.3930274764698439E-2</v>
      </c>
      <c r="K152" s="1"/>
      <c r="L152" s="1">
        <f t="shared" si="42"/>
        <v>441.84999999999854</v>
      </c>
      <c r="M152" s="1"/>
      <c r="N152" s="5">
        <f t="shared" si="43"/>
        <v>1.4585396448141498E-2</v>
      </c>
      <c r="O152" s="13"/>
      <c r="P152" s="1">
        <f>SUM(OSRRefP22_5x_0)</f>
        <v>307653.99</v>
      </c>
      <c r="Q152" s="1"/>
      <c r="R152" s="5">
        <f t="shared" si="44"/>
        <v>6.5421556390559923E-2</v>
      </c>
      <c r="S152" s="1"/>
      <c r="T152" s="1">
        <f>SUM(OSRRefT22_5x_0)</f>
        <v>303948</v>
      </c>
      <c r="U152" s="1"/>
      <c r="V152" s="5">
        <f t="shared" si="45"/>
        <v>3.7099377185301347E-2</v>
      </c>
      <c r="W152" s="1"/>
      <c r="X152" s="1">
        <f t="shared" si="46"/>
        <v>3705.9899999999907</v>
      </c>
      <c r="Y152" s="1"/>
      <c r="Z152" s="5">
        <f t="shared" si="47"/>
        <v>1.2192842196691509E-2</v>
      </c>
    </row>
    <row r="153" spans="1:26" s="24" customFormat="1" hidden="1" outlineLevel="2" x14ac:dyDescent="0.25">
      <c r="A153" s="26"/>
      <c r="B153" s="11" t="str">
        <f>CONCATENATE("          ", "6321", " - ", "BUILDING DEPRECIATION")</f>
        <v xml:space="preserve">          6321 - BUILDING DEPRECIATION</v>
      </c>
      <c r="C153" s="11"/>
      <c r="D153" s="7">
        <v>16396.52</v>
      </c>
      <c r="E153" s="2"/>
      <c r="F153" s="6">
        <f t="shared" si="40"/>
        <v>3.7395173507212782E-2</v>
      </c>
      <c r="G153" s="2"/>
      <c r="H153" s="7"/>
      <c r="I153" s="2"/>
      <c r="J153" s="6">
        <f t="shared" si="41"/>
        <v>0</v>
      </c>
      <c r="K153" s="2"/>
      <c r="L153" s="7">
        <f t="shared" si="42"/>
        <v>16396.52</v>
      </c>
      <c r="M153" s="2"/>
      <c r="N153" s="6">
        <f t="shared" si="43"/>
        <v>0</v>
      </c>
      <c r="O153" s="11"/>
      <c r="P153" s="7">
        <v>163965.20000000001</v>
      </c>
      <c r="Q153" s="2"/>
      <c r="R153" s="6">
        <f t="shared" si="44"/>
        <v>3.4866632407040896E-2</v>
      </c>
      <c r="S153" s="2"/>
      <c r="T153" s="7"/>
      <c r="U153" s="2"/>
      <c r="V153" s="6">
        <f t="shared" si="45"/>
        <v>0</v>
      </c>
      <c r="W153" s="2"/>
      <c r="X153" s="7">
        <f t="shared" si="46"/>
        <v>163965.20000000001</v>
      </c>
      <c r="Y153" s="2"/>
      <c r="Z153" s="6">
        <f t="shared" si="47"/>
        <v>0</v>
      </c>
    </row>
    <row r="154" spans="1:26" s="24" customFormat="1" hidden="1" outlineLevel="2" x14ac:dyDescent="0.25">
      <c r="A154" s="26"/>
      <c r="B154" s="11" t="str">
        <f>CONCATENATE("          ", "6322", " - ", "EQUIPMENT DEPRECIATION EXPENSE")</f>
        <v xml:space="preserve">          6322 - EQUIPMENT DEPRECIATION EXPENSE</v>
      </c>
      <c r="C154" s="11"/>
      <c r="D154" s="7">
        <v>14339.33</v>
      </c>
      <c r="E154" s="2"/>
      <c r="F154" s="6">
        <f t="shared" si="40"/>
        <v>3.2703386653215531E-2</v>
      </c>
      <c r="G154" s="2"/>
      <c r="H154" s="7">
        <v>30294</v>
      </c>
      <c r="I154" s="2"/>
      <c r="J154" s="6">
        <f t="shared" si="41"/>
        <v>6.3930274764698439E-2</v>
      </c>
      <c r="K154" s="2"/>
      <c r="L154" s="7">
        <f t="shared" si="42"/>
        <v>-15954.67</v>
      </c>
      <c r="M154" s="2"/>
      <c r="N154" s="6">
        <f t="shared" si="43"/>
        <v>-0.52666105499438831</v>
      </c>
      <c r="O154" s="11"/>
      <c r="P154" s="7">
        <v>143688.79</v>
      </c>
      <c r="Q154" s="2"/>
      <c r="R154" s="6">
        <f t="shared" si="44"/>
        <v>3.0554923983519028E-2</v>
      </c>
      <c r="S154" s="2"/>
      <c r="T154" s="7">
        <v>303948</v>
      </c>
      <c r="U154" s="2"/>
      <c r="V154" s="6">
        <f t="shared" si="45"/>
        <v>3.7099377185301347E-2</v>
      </c>
      <c r="W154" s="2"/>
      <c r="X154" s="7">
        <f t="shared" si="46"/>
        <v>-160259.21</v>
      </c>
      <c r="Y154" s="2"/>
      <c r="Z154" s="6">
        <f t="shared" si="47"/>
        <v>-0.52725864292576363</v>
      </c>
    </row>
    <row r="155" spans="1:26" s="25" customFormat="1" outlineLevel="1" collapsed="1" x14ac:dyDescent="0.25">
      <c r="A155" s="27"/>
      <c r="B155" s="13" t="str">
        <f>CONCATENATE("     ","Discounts and Markdowns                           ")</f>
        <v xml:space="preserve">     Discounts and Markdowns                           </v>
      </c>
      <c r="C155" s="13"/>
      <c r="D155" s="1">
        <f>SUM(OSRRefD22_6x_0)</f>
        <v>-15.43</v>
      </c>
      <c r="E155" s="1"/>
      <c r="F155" s="5">
        <f t="shared" ref="F155:F157" si="48">IF(D$12=0,0,D155/D$12)</f>
        <v>-3.5190853133243717E-5</v>
      </c>
      <c r="G155" s="1"/>
      <c r="H155" s="1">
        <f>SUM(OSRRefH22_6x_0)</f>
        <v>32182</v>
      </c>
      <c r="I155" s="1"/>
      <c r="J155" s="5">
        <f t="shared" ref="J155:J157" si="49">IF(H$12=0,0,H155/H$12)</f>
        <v>6.7914573924787919E-2</v>
      </c>
      <c r="K155" s="1"/>
      <c r="L155" s="1">
        <f t="shared" ref="L155:L157" si="50">+D155-H155</f>
        <v>-32197.43</v>
      </c>
      <c r="M155" s="1"/>
      <c r="N155" s="5">
        <f t="shared" ref="N155:N157" si="51">IF(H155=0,0,L155/H155)</f>
        <v>-1.0004794605680194</v>
      </c>
      <c r="O155" s="13"/>
      <c r="P155" s="1">
        <f>SUM(OSRRefP22_6x_0)</f>
        <v>-15.43</v>
      </c>
      <c r="Q155" s="1"/>
      <c r="R155" s="5">
        <f t="shared" ref="R155:R157" si="52">IF(P$12=0,0,P155/P$12)</f>
        <v>-3.2811361071778706E-6</v>
      </c>
      <c r="S155" s="1"/>
      <c r="T155" s="1">
        <f>SUM(OSRRefT22_6x_0)</f>
        <v>280802</v>
      </c>
      <c r="U155" s="1"/>
      <c r="V155" s="5">
        <f t="shared" ref="V155:V157" si="53">IF(T$12=0,0,T155/T$12)</f>
        <v>3.4274215696063107E-2</v>
      </c>
      <c r="W155" s="1"/>
      <c r="X155" s="1">
        <f t="shared" ref="X155:X157" si="54">+P155-T155</f>
        <v>-280817.43</v>
      </c>
      <c r="Y155" s="1"/>
      <c r="Z155" s="5">
        <f t="shared" ref="Z155:Z157" si="55">IF(T155=0,0,X155/T155)</f>
        <v>-1.0000549497510702</v>
      </c>
    </row>
    <row r="156" spans="1:26" s="24" customFormat="1" hidden="1" outlineLevel="2" x14ac:dyDescent="0.25">
      <c r="A156" s="26"/>
      <c r="B156" s="11" t="str">
        <f>CONCATENATE("          ", "6382", " - ", "DISCOUNTS/MARK DOWNS")</f>
        <v xml:space="preserve">          6382 - DISCOUNTS/MARK DOWNS</v>
      </c>
      <c r="C156" s="11"/>
      <c r="D156" s="7">
        <v>0</v>
      </c>
      <c r="E156" s="2"/>
      <c r="F156" s="6">
        <f t="shared" si="48"/>
        <v>0</v>
      </c>
      <c r="G156" s="2"/>
      <c r="H156" s="7">
        <v>32182</v>
      </c>
      <c r="I156" s="2"/>
      <c r="J156" s="6">
        <f t="shared" si="49"/>
        <v>6.7914573924787919E-2</v>
      </c>
      <c r="K156" s="2"/>
      <c r="L156" s="7">
        <f t="shared" si="50"/>
        <v>-32182</v>
      </c>
      <c r="M156" s="2"/>
      <c r="N156" s="6">
        <f t="shared" si="51"/>
        <v>-1</v>
      </c>
      <c r="O156" s="11"/>
      <c r="P156" s="7">
        <v>0</v>
      </c>
      <c r="Q156" s="2"/>
      <c r="R156" s="6">
        <f t="shared" si="52"/>
        <v>0</v>
      </c>
      <c r="S156" s="2"/>
      <c r="T156" s="7">
        <v>280802</v>
      </c>
      <c r="U156" s="2"/>
      <c r="V156" s="6">
        <f t="shared" si="53"/>
        <v>3.4274215696063107E-2</v>
      </c>
      <c r="W156" s="2"/>
      <c r="X156" s="7">
        <f t="shared" si="54"/>
        <v>-280802</v>
      </c>
      <c r="Y156" s="2"/>
      <c r="Z156" s="6">
        <f t="shared" si="55"/>
        <v>-1</v>
      </c>
    </row>
    <row r="157" spans="1:26" s="24" customFormat="1" hidden="1" outlineLevel="2" x14ac:dyDescent="0.25">
      <c r="A157" s="26"/>
      <c r="B157" s="11" t="str">
        <f>CONCATENATE("          ", "9175", " - ", "EARNED DISCOUNTS")</f>
        <v xml:space="preserve">          9175 - EARNED DISCOUNTS</v>
      </c>
      <c r="C157" s="11"/>
      <c r="D157" s="7">
        <v>-15.43</v>
      </c>
      <c r="E157" s="2"/>
      <c r="F157" s="6">
        <f t="shared" si="48"/>
        <v>-3.5190853133243717E-5</v>
      </c>
      <c r="G157" s="2"/>
      <c r="H157" s="7"/>
      <c r="I157" s="2"/>
      <c r="J157" s="6">
        <f t="shared" si="49"/>
        <v>0</v>
      </c>
      <c r="K157" s="2"/>
      <c r="L157" s="7">
        <f t="shared" si="50"/>
        <v>-15.43</v>
      </c>
      <c r="M157" s="2"/>
      <c r="N157" s="6">
        <f t="shared" si="51"/>
        <v>0</v>
      </c>
      <c r="O157" s="11"/>
      <c r="P157" s="7">
        <v>-15.43</v>
      </c>
      <c r="Q157" s="2"/>
      <c r="R157" s="6">
        <f t="shared" si="52"/>
        <v>-3.2811361071778706E-6</v>
      </c>
      <c r="S157" s="2"/>
      <c r="T157" s="7"/>
      <c r="U157" s="2"/>
      <c r="V157" s="6">
        <f t="shared" si="53"/>
        <v>0</v>
      </c>
      <c r="W157" s="2"/>
      <c r="X157" s="7">
        <f t="shared" si="54"/>
        <v>-15.43</v>
      </c>
      <c r="Y157" s="2"/>
      <c r="Z157" s="6">
        <f t="shared" si="55"/>
        <v>0</v>
      </c>
    </row>
    <row r="158" spans="1:26" s="25" customFormat="1" outlineLevel="1" collapsed="1" x14ac:dyDescent="0.25">
      <c r="A158" s="27"/>
      <c r="B158" s="13" t="str">
        <f>CONCATENATE("     ","Donations                                         ")</f>
        <v xml:space="preserve">     Donations                                         </v>
      </c>
      <c r="C158" s="13"/>
      <c r="D158" s="1">
        <f>SUM(OSRRefD22_7x_0)</f>
        <v>360.9</v>
      </c>
      <c r="E158" s="1"/>
      <c r="F158" s="5">
        <f t="shared" ref="F158:F160" si="56">IF(D$12=0,0,D158/D$12)</f>
        <v>8.2309649357016569E-4</v>
      </c>
      <c r="G158" s="1"/>
      <c r="H158" s="1">
        <f>SUM(OSRRefH22_7x_0)</f>
        <v>1000</v>
      </c>
      <c r="I158" s="1"/>
      <c r="J158" s="5">
        <f t="shared" ref="J158:J160" si="57">IF(H$12=0,0,H158/H$12)</f>
        <v>2.1103279449626471E-3</v>
      </c>
      <c r="K158" s="1"/>
      <c r="L158" s="1">
        <f t="shared" ref="L158:L160" si="58">+D158-H158</f>
        <v>-639.1</v>
      </c>
      <c r="M158" s="1"/>
      <c r="N158" s="5">
        <f t="shared" ref="N158:N160" si="59">IF(H158=0,0,L158/H158)</f>
        <v>-0.6391</v>
      </c>
      <c r="O158" s="13"/>
      <c r="P158" s="1">
        <f>SUM(OSRRefP22_7x_0)</f>
        <v>360.9</v>
      </c>
      <c r="Q158" s="1"/>
      <c r="R158" s="5">
        <f t="shared" ref="R158:R160" si="60">IF(P$12=0,0,P158/P$12)</f>
        <v>7.6744136168534899E-5</v>
      </c>
      <c r="S158" s="1"/>
      <c r="T158" s="1">
        <f>SUM(OSRRefT22_7x_0)</f>
        <v>10000</v>
      </c>
      <c r="U158" s="1"/>
      <c r="V158" s="5">
        <f t="shared" ref="V158:V160" si="61">IF(T$12=0,0,T158/T$12)</f>
        <v>1.220583033456425E-3</v>
      </c>
      <c r="W158" s="1"/>
      <c r="X158" s="1">
        <f t="shared" ref="X158:X160" si="62">+P158-T158</f>
        <v>-9639.1</v>
      </c>
      <c r="Y158" s="1"/>
      <c r="Z158" s="5">
        <f t="shared" ref="Z158:Z160" si="63">IF(T158=0,0,X158/T158)</f>
        <v>-0.96391000000000004</v>
      </c>
    </row>
    <row r="159" spans="1:26" s="24" customFormat="1" hidden="1" outlineLevel="2" x14ac:dyDescent="0.25">
      <c r="A159" s="26"/>
      <c r="B159" s="11" t="str">
        <f>CONCATENATE("          ", "6395", " - ", "DONATION-OFF CAMPUS")</f>
        <v xml:space="preserve">          6395 - DONATION-OFF CAMPUS</v>
      </c>
      <c r="C159" s="11"/>
      <c r="D159" s="7"/>
      <c r="E159" s="2"/>
      <c r="F159" s="6">
        <f t="shared" si="56"/>
        <v>0</v>
      </c>
      <c r="G159" s="2"/>
      <c r="H159" s="7"/>
      <c r="I159" s="2"/>
      <c r="J159" s="6">
        <f t="shared" si="57"/>
        <v>0</v>
      </c>
      <c r="K159" s="2"/>
      <c r="L159" s="7">
        <f t="shared" si="58"/>
        <v>0</v>
      </c>
      <c r="M159" s="2"/>
      <c r="N159" s="6">
        <f t="shared" si="59"/>
        <v>0</v>
      </c>
      <c r="O159" s="11"/>
      <c r="P159" s="7"/>
      <c r="Q159" s="2"/>
      <c r="R159" s="6">
        <f t="shared" si="60"/>
        <v>0</v>
      </c>
      <c r="S159" s="2"/>
      <c r="T159" s="7">
        <v>0</v>
      </c>
      <c r="U159" s="2"/>
      <c r="V159" s="6">
        <f t="shared" si="61"/>
        <v>0</v>
      </c>
      <c r="W159" s="2"/>
      <c r="X159" s="7">
        <f t="shared" si="62"/>
        <v>0</v>
      </c>
      <c r="Y159" s="2"/>
      <c r="Z159" s="6">
        <f t="shared" si="63"/>
        <v>0</v>
      </c>
    </row>
    <row r="160" spans="1:26" s="24" customFormat="1" hidden="1" outlineLevel="2" x14ac:dyDescent="0.25">
      <c r="A160" s="26"/>
      <c r="B160" s="11" t="str">
        <f>CONCATENATE("          ", "6399", " - ", "DONATION-ON CAMPUS")</f>
        <v xml:space="preserve">          6399 - DONATION-ON CAMPUS</v>
      </c>
      <c r="C160" s="11"/>
      <c r="D160" s="7">
        <v>360.9</v>
      </c>
      <c r="E160" s="2"/>
      <c r="F160" s="6">
        <f t="shared" si="56"/>
        <v>8.2309649357016569E-4</v>
      </c>
      <c r="G160" s="2"/>
      <c r="H160" s="7">
        <v>1000</v>
      </c>
      <c r="I160" s="2"/>
      <c r="J160" s="6">
        <f t="shared" si="57"/>
        <v>2.1103279449626471E-3</v>
      </c>
      <c r="K160" s="2"/>
      <c r="L160" s="7">
        <f t="shared" si="58"/>
        <v>-639.1</v>
      </c>
      <c r="M160" s="2"/>
      <c r="N160" s="6">
        <f t="shared" si="59"/>
        <v>-0.6391</v>
      </c>
      <c r="O160" s="11"/>
      <c r="P160" s="7">
        <v>360.9</v>
      </c>
      <c r="Q160" s="2"/>
      <c r="R160" s="6">
        <f t="shared" si="60"/>
        <v>7.6744136168534899E-5</v>
      </c>
      <c r="S160" s="2"/>
      <c r="T160" s="7">
        <v>10000</v>
      </c>
      <c r="U160" s="2"/>
      <c r="V160" s="6">
        <f t="shared" si="61"/>
        <v>1.220583033456425E-3</v>
      </c>
      <c r="W160" s="2"/>
      <c r="X160" s="7">
        <f t="shared" si="62"/>
        <v>-9639.1</v>
      </c>
      <c r="Y160" s="2"/>
      <c r="Z160" s="6">
        <f t="shared" si="63"/>
        <v>-0.96391000000000004</v>
      </c>
    </row>
    <row r="161" spans="1:26" s="25" customFormat="1" outlineLevel="1" collapsed="1" x14ac:dyDescent="0.25">
      <c r="A161" s="27"/>
      <c r="B161" s="13" t="str">
        <f>CONCATENATE("     ","Employees' Appreciation                           ")</f>
        <v xml:space="preserve">     Employees' Appreciation                           </v>
      </c>
      <c r="C161" s="13"/>
      <c r="D161" s="1">
        <f>SUM(OSRRefD22_8x_0)</f>
        <v>0</v>
      </c>
      <c r="E161" s="1"/>
      <c r="F161" s="5">
        <f t="shared" ref="F161:F167" si="64">IF(D$12=0,0,D161/D$12)</f>
        <v>0</v>
      </c>
      <c r="G161" s="1"/>
      <c r="H161" s="1">
        <f>SUM(OSRRefH22_8x_0)</f>
        <v>400</v>
      </c>
      <c r="I161" s="1"/>
      <c r="J161" s="5">
        <f t="shared" ref="J161:J167" si="65">IF(H$12=0,0,H161/H$12)</f>
        <v>8.441311779850589E-4</v>
      </c>
      <c r="K161" s="1"/>
      <c r="L161" s="1">
        <f t="shared" ref="L161:L167" si="66">+D161-H161</f>
        <v>-400</v>
      </c>
      <c r="M161" s="1"/>
      <c r="N161" s="5">
        <f t="shared" ref="N161:N167" si="67">IF(H161=0,0,L161/H161)</f>
        <v>-1</v>
      </c>
      <c r="O161" s="13"/>
      <c r="P161" s="1">
        <f>SUM(OSRRefP22_8x_0)</f>
        <v>186.03</v>
      </c>
      <c r="Q161" s="1"/>
      <c r="R161" s="5">
        <f t="shared" ref="R161:R167" si="68">IF(P$12=0,0,P161/P$12)</f>
        <v>3.9558635775651285E-5</v>
      </c>
      <c r="S161" s="1"/>
      <c r="T161" s="1">
        <f>SUM(OSRRefT22_8x_0)</f>
        <v>4100</v>
      </c>
      <c r="U161" s="1"/>
      <c r="V161" s="5">
        <f t="shared" ref="V161:V167" si="69">IF(T$12=0,0,T161/T$12)</f>
        <v>5.0043904371713428E-4</v>
      </c>
      <c r="W161" s="1"/>
      <c r="X161" s="1">
        <f t="shared" ref="X161:X167" si="70">+P161-T161</f>
        <v>-3913.97</v>
      </c>
      <c r="Y161" s="1"/>
      <c r="Z161" s="5">
        <f t="shared" ref="Z161:Z167" si="71">IF(T161=0,0,X161/T161)</f>
        <v>-0.95462682926829268</v>
      </c>
    </row>
    <row r="162" spans="1:26" s="24" customFormat="1" hidden="1" outlineLevel="2" x14ac:dyDescent="0.25">
      <c r="A162" s="26"/>
      <c r="B162" s="11" t="str">
        <f>CONCATENATE("          ", "6277", " - ", "EMPLOYEE APPRECIATION")</f>
        <v xml:space="preserve">          6277 - EMPLOYEE APPRECIATION</v>
      </c>
      <c r="C162" s="11"/>
      <c r="D162" s="7"/>
      <c r="E162" s="2"/>
      <c r="F162" s="6">
        <f t="shared" si="64"/>
        <v>0</v>
      </c>
      <c r="G162" s="2"/>
      <c r="H162" s="7">
        <v>400</v>
      </c>
      <c r="I162" s="2"/>
      <c r="J162" s="6">
        <f t="shared" si="65"/>
        <v>8.441311779850589E-4</v>
      </c>
      <c r="K162" s="2"/>
      <c r="L162" s="7">
        <f t="shared" si="66"/>
        <v>-400</v>
      </c>
      <c r="M162" s="2"/>
      <c r="N162" s="6">
        <f t="shared" si="67"/>
        <v>-1</v>
      </c>
      <c r="O162" s="11"/>
      <c r="P162" s="7">
        <v>186.03</v>
      </c>
      <c r="Q162" s="2"/>
      <c r="R162" s="6">
        <f t="shared" si="68"/>
        <v>3.9558635775651285E-5</v>
      </c>
      <c r="S162" s="2"/>
      <c r="T162" s="7">
        <v>4100</v>
      </c>
      <c r="U162" s="2"/>
      <c r="V162" s="6">
        <f t="shared" si="69"/>
        <v>5.0043904371713428E-4</v>
      </c>
      <c r="W162" s="2"/>
      <c r="X162" s="7">
        <f t="shared" si="70"/>
        <v>-3913.97</v>
      </c>
      <c r="Y162" s="2"/>
      <c r="Z162" s="6">
        <f t="shared" si="71"/>
        <v>-0.95462682926829268</v>
      </c>
    </row>
    <row r="163" spans="1:26" s="25" customFormat="1" outlineLevel="1" collapsed="1" x14ac:dyDescent="0.25">
      <c r="A163" s="27"/>
      <c r="B163" s="13" t="str">
        <f>CONCATENATE("     ","Equipment Rental                                  ")</f>
        <v xml:space="preserve">     Equipment Rental                                  </v>
      </c>
      <c r="C163" s="13"/>
      <c r="D163" s="1">
        <f>SUM(OSRRefD22_9x_0)</f>
        <v>1388.16</v>
      </c>
      <c r="E163" s="1"/>
      <c r="F163" s="5">
        <f t="shared" si="64"/>
        <v>3.1659452161661439E-3</v>
      </c>
      <c r="G163" s="1"/>
      <c r="H163" s="1">
        <f>SUM(OSRRefH22_9x_0)</f>
        <v>3006</v>
      </c>
      <c r="I163" s="1"/>
      <c r="J163" s="5">
        <f t="shared" si="65"/>
        <v>6.3436458025577175E-3</v>
      </c>
      <c r="K163" s="1"/>
      <c r="L163" s="1">
        <f t="shared" si="66"/>
        <v>-1617.84</v>
      </c>
      <c r="M163" s="1"/>
      <c r="N163" s="5">
        <f t="shared" si="67"/>
        <v>-0.53820359281437125</v>
      </c>
      <c r="O163" s="13"/>
      <c r="P163" s="1">
        <f>SUM(OSRRefP22_9x_0)</f>
        <v>14834.17</v>
      </c>
      <c r="Q163" s="1"/>
      <c r="R163" s="5">
        <f t="shared" si="68"/>
        <v>3.1544349194436005E-3</v>
      </c>
      <c r="S163" s="1"/>
      <c r="T163" s="1">
        <f>SUM(OSRRefT22_9x_0)</f>
        <v>30060</v>
      </c>
      <c r="U163" s="1"/>
      <c r="V163" s="5">
        <f t="shared" si="69"/>
        <v>3.6690725985700137E-3</v>
      </c>
      <c r="W163" s="1"/>
      <c r="X163" s="1">
        <f t="shared" si="70"/>
        <v>-15225.83</v>
      </c>
      <c r="Y163" s="1"/>
      <c r="Z163" s="5">
        <f t="shared" si="71"/>
        <v>-0.50651463739188285</v>
      </c>
    </row>
    <row r="164" spans="1:26" s="24" customFormat="1" hidden="1" outlineLevel="2" x14ac:dyDescent="0.25">
      <c r="A164" s="26"/>
      <c r="B164" s="11" t="str">
        <f>CONCATENATE("          ", "6351", " - ", "EQUIPMENT RENTAL")</f>
        <v xml:space="preserve">          6351 - EQUIPMENT RENTAL</v>
      </c>
      <c r="C164" s="11"/>
      <c r="D164" s="7">
        <v>1388.16</v>
      </c>
      <c r="E164" s="2"/>
      <c r="F164" s="6">
        <f t="shared" si="64"/>
        <v>3.1659452161661439E-3</v>
      </c>
      <c r="G164" s="2"/>
      <c r="H164" s="7">
        <v>3006</v>
      </c>
      <c r="I164" s="2"/>
      <c r="J164" s="6">
        <f t="shared" si="65"/>
        <v>6.3436458025577175E-3</v>
      </c>
      <c r="K164" s="2"/>
      <c r="L164" s="7">
        <f t="shared" si="66"/>
        <v>-1617.84</v>
      </c>
      <c r="M164" s="2"/>
      <c r="N164" s="6">
        <f t="shared" si="67"/>
        <v>-0.53820359281437125</v>
      </c>
      <c r="O164" s="11"/>
      <c r="P164" s="7">
        <v>14834.17</v>
      </c>
      <c r="Q164" s="2"/>
      <c r="R164" s="6">
        <f t="shared" si="68"/>
        <v>3.1544349194436005E-3</v>
      </c>
      <c r="S164" s="2"/>
      <c r="T164" s="7">
        <v>30060</v>
      </c>
      <c r="U164" s="2"/>
      <c r="V164" s="6">
        <f t="shared" si="69"/>
        <v>3.6690725985700137E-3</v>
      </c>
      <c r="W164" s="2"/>
      <c r="X164" s="7">
        <f t="shared" si="70"/>
        <v>-15225.83</v>
      </c>
      <c r="Y164" s="2"/>
      <c r="Z164" s="6">
        <f t="shared" si="71"/>
        <v>-0.50651463739188285</v>
      </c>
    </row>
    <row r="165" spans="1:26" s="25" customFormat="1" outlineLevel="1" collapsed="1" x14ac:dyDescent="0.25">
      <c r="A165" s="27"/>
      <c r="B165" s="13" t="str">
        <f>CONCATENATE("     ","Freight out/Postage                               ")</f>
        <v xml:space="preserve">     Freight out/Postage                               </v>
      </c>
      <c r="C165" s="13"/>
      <c r="D165" s="1">
        <f>SUM(OSRRefD22_10x_0)</f>
        <v>-12514.900000000001</v>
      </c>
      <c r="E165" s="1"/>
      <c r="F165" s="5">
        <f t="shared" si="64"/>
        <v>-2.8542450283683202E-2</v>
      </c>
      <c r="G165" s="1"/>
      <c r="H165" s="1">
        <f>SUM(OSRRefH22_10x_0)</f>
        <v>2976</v>
      </c>
      <c r="I165" s="1"/>
      <c r="J165" s="5">
        <f t="shared" si="65"/>
        <v>6.2803359642088384E-3</v>
      </c>
      <c r="K165" s="1"/>
      <c r="L165" s="1">
        <f t="shared" si="66"/>
        <v>-15490.900000000001</v>
      </c>
      <c r="M165" s="1"/>
      <c r="N165" s="5">
        <f t="shared" si="67"/>
        <v>-5.2052755376344093</v>
      </c>
      <c r="O165" s="13"/>
      <c r="P165" s="1">
        <f>SUM(OSRRefP22_10x_0)</f>
        <v>-47021.550000000017</v>
      </c>
      <c r="Q165" s="1"/>
      <c r="R165" s="5">
        <f t="shared" si="68"/>
        <v>-9.9989698976325134E-3</v>
      </c>
      <c r="S165" s="1"/>
      <c r="T165" s="1">
        <f>SUM(OSRRefT22_10x_0)</f>
        <v>36597</v>
      </c>
      <c r="U165" s="1"/>
      <c r="V165" s="5">
        <f t="shared" si="69"/>
        <v>4.4669677275404789E-3</v>
      </c>
      <c r="W165" s="1"/>
      <c r="X165" s="1">
        <f t="shared" si="70"/>
        <v>-83618.550000000017</v>
      </c>
      <c r="Y165" s="1"/>
      <c r="Z165" s="5">
        <f t="shared" si="71"/>
        <v>-2.2848471186162804</v>
      </c>
    </row>
    <row r="166" spans="1:26" s="24" customFormat="1" hidden="1" outlineLevel="2" x14ac:dyDescent="0.25">
      <c r="A166" s="26"/>
      <c r="B166" s="11" t="str">
        <f>CONCATENATE("          ", "6305", " - ", "FREIGHT OUT")</f>
        <v xml:space="preserve">          6305 - FREIGHT OUT</v>
      </c>
      <c r="C166" s="11"/>
      <c r="D166" s="7">
        <v>22667.040000000001</v>
      </c>
      <c r="E166" s="2"/>
      <c r="F166" s="6">
        <f t="shared" si="64"/>
        <v>5.1696207103393434E-2</v>
      </c>
      <c r="G166" s="2"/>
      <c r="H166" s="7">
        <v>5048</v>
      </c>
      <c r="I166" s="2"/>
      <c r="J166" s="6">
        <f t="shared" si="65"/>
        <v>1.0652935466171442E-2</v>
      </c>
      <c r="K166" s="2"/>
      <c r="L166" s="7">
        <f t="shared" si="66"/>
        <v>17619.04</v>
      </c>
      <c r="M166" s="2"/>
      <c r="N166" s="6">
        <f t="shared" si="67"/>
        <v>3.4903011093502379</v>
      </c>
      <c r="O166" s="11"/>
      <c r="P166" s="7">
        <v>201900.83</v>
      </c>
      <c r="Q166" s="2"/>
      <c r="R166" s="6">
        <f t="shared" si="68"/>
        <v>4.2933512856913873E-2</v>
      </c>
      <c r="S166" s="2"/>
      <c r="T166" s="7">
        <v>60939</v>
      </c>
      <c r="U166" s="2"/>
      <c r="V166" s="6">
        <f t="shared" si="69"/>
        <v>7.4381109475801085E-3</v>
      </c>
      <c r="W166" s="2"/>
      <c r="X166" s="7">
        <f t="shared" si="70"/>
        <v>140961.82999999999</v>
      </c>
      <c r="Y166" s="2"/>
      <c r="Z166" s="6">
        <f t="shared" si="71"/>
        <v>2.3131628349661133</v>
      </c>
    </row>
    <row r="167" spans="1:26" s="24" customFormat="1" hidden="1" outlineLevel="2" x14ac:dyDescent="0.25">
      <c r="A167" s="26"/>
      <c r="B167" s="11" t="str">
        <f>CONCATENATE("          ", "6307", " - ", "POSTAGE")</f>
        <v xml:space="preserve">          6307 - POSTAGE</v>
      </c>
      <c r="C167" s="11"/>
      <c r="D167" s="7">
        <v>-35181.94</v>
      </c>
      <c r="E167" s="2"/>
      <c r="F167" s="6">
        <f t="shared" si="64"/>
        <v>-8.023865738707664E-2</v>
      </c>
      <c r="G167" s="2"/>
      <c r="H167" s="7">
        <v>-2072</v>
      </c>
      <c r="I167" s="2"/>
      <c r="J167" s="6">
        <f t="shared" si="65"/>
        <v>-4.3725995019626047E-3</v>
      </c>
      <c r="K167" s="2"/>
      <c r="L167" s="7">
        <f t="shared" si="66"/>
        <v>-33109.94</v>
      </c>
      <c r="M167" s="2"/>
      <c r="N167" s="6">
        <f t="shared" si="67"/>
        <v>15.979700772200774</v>
      </c>
      <c r="O167" s="11"/>
      <c r="P167" s="7">
        <v>-248922.38</v>
      </c>
      <c r="Q167" s="2"/>
      <c r="R167" s="6">
        <f t="shared" si="68"/>
        <v>-5.2932482754546387E-2</v>
      </c>
      <c r="S167" s="2"/>
      <c r="T167" s="7">
        <v>-24342</v>
      </c>
      <c r="U167" s="2"/>
      <c r="V167" s="6">
        <f t="shared" si="69"/>
        <v>-2.9711432200396301E-3</v>
      </c>
      <c r="W167" s="2"/>
      <c r="X167" s="7">
        <f t="shared" si="70"/>
        <v>-224580.38</v>
      </c>
      <c r="Y167" s="2"/>
      <c r="Z167" s="6">
        <f t="shared" si="71"/>
        <v>9.2260446964094989</v>
      </c>
    </row>
    <row r="168" spans="1:26" s="25" customFormat="1" outlineLevel="1" collapsed="1" x14ac:dyDescent="0.25">
      <c r="A168" s="27"/>
      <c r="B168" s="13" t="str">
        <f>CONCATENATE("     ","General                                           ")</f>
        <v xml:space="preserve">     General                                           </v>
      </c>
      <c r="C168" s="13"/>
      <c r="D168" s="1">
        <f>SUM(OSRRefD22_11x_0)</f>
        <v>93.84</v>
      </c>
      <c r="E168" s="1"/>
      <c r="F168" s="5">
        <f t="shared" ref="F168:F171" si="72">IF(D$12=0,0,D168/D$12)</f>
        <v>2.1401877239297411E-4</v>
      </c>
      <c r="G168" s="1"/>
      <c r="H168" s="1">
        <f>SUM(OSRRefH22_11x_0)</f>
        <v>750</v>
      </c>
      <c r="I168" s="1"/>
      <c r="J168" s="5">
        <f t="shared" ref="J168:J171" si="73">IF(H$12=0,0,H168/H$12)</f>
        <v>1.5827459587219855E-3</v>
      </c>
      <c r="K168" s="1"/>
      <c r="L168" s="1">
        <f t="shared" ref="L168:L171" si="74">+D168-H168</f>
        <v>-656.16</v>
      </c>
      <c r="M168" s="1"/>
      <c r="N168" s="5">
        <f t="shared" ref="N168:N171" si="75">IF(H168=0,0,L168/H168)</f>
        <v>-0.87487999999999999</v>
      </c>
      <c r="O168" s="13"/>
      <c r="P168" s="1">
        <f>SUM(OSRRefP22_11x_0)</f>
        <v>2603.63</v>
      </c>
      <c r="Q168" s="1"/>
      <c r="R168" s="5">
        <f t="shared" ref="R168:R171" si="76">IF(P$12=0,0,P168/P$12)</f>
        <v>5.5365291009277509E-4</v>
      </c>
      <c r="S168" s="1"/>
      <c r="T168" s="1">
        <f>SUM(OSRRefT22_11x_0)</f>
        <v>10000</v>
      </c>
      <c r="U168" s="1"/>
      <c r="V168" s="5">
        <f t="shared" ref="V168:V171" si="77">IF(T$12=0,0,T168/T$12)</f>
        <v>1.220583033456425E-3</v>
      </c>
      <c r="W168" s="1"/>
      <c r="X168" s="1">
        <f t="shared" ref="X168:X171" si="78">+P168-T168</f>
        <v>-7396.37</v>
      </c>
      <c r="Y168" s="1"/>
      <c r="Z168" s="5">
        <f t="shared" ref="Z168:Z171" si="79">IF(T168=0,0,X168/T168)</f>
        <v>-0.73963699999999999</v>
      </c>
    </row>
    <row r="169" spans="1:26" s="24" customFormat="1" hidden="1" outlineLevel="2" x14ac:dyDescent="0.25">
      <c r="A169" s="26"/>
      <c r="B169" s="11" t="str">
        <f>CONCATENATE("          ", "6269", " - ", "ENTERTAINMENT")</f>
        <v xml:space="preserve">          6269 - ENTERTAINMENT</v>
      </c>
      <c r="C169" s="11"/>
      <c r="D169" s="7"/>
      <c r="E169" s="2"/>
      <c r="F169" s="6">
        <f t="shared" si="72"/>
        <v>0</v>
      </c>
      <c r="G169" s="2"/>
      <c r="H169" s="7"/>
      <c r="I169" s="2"/>
      <c r="J169" s="6">
        <f t="shared" si="73"/>
        <v>0</v>
      </c>
      <c r="K169" s="2"/>
      <c r="L169" s="7">
        <f t="shared" si="74"/>
        <v>0</v>
      </c>
      <c r="M169" s="2"/>
      <c r="N169" s="6">
        <f t="shared" si="75"/>
        <v>0</v>
      </c>
      <c r="O169" s="11"/>
      <c r="P169" s="7"/>
      <c r="Q169" s="2"/>
      <c r="R169" s="6">
        <f t="shared" si="76"/>
        <v>0</v>
      </c>
      <c r="S169" s="2"/>
      <c r="T169" s="7">
        <v>1500</v>
      </c>
      <c r="U169" s="2"/>
      <c r="V169" s="6">
        <f t="shared" si="77"/>
        <v>1.8308745501846376E-4</v>
      </c>
      <c r="W169" s="2"/>
      <c r="X169" s="7">
        <f t="shared" si="78"/>
        <v>-1500</v>
      </c>
      <c r="Y169" s="2"/>
      <c r="Z169" s="6">
        <f t="shared" si="79"/>
        <v>-1</v>
      </c>
    </row>
    <row r="170" spans="1:26" s="24" customFormat="1" hidden="1" outlineLevel="2" x14ac:dyDescent="0.25">
      <c r="A170" s="26"/>
      <c r="B170" s="11" t="str">
        <f>CONCATENATE("          ", "6276", " - ", "PROPERTY TAX")</f>
        <v xml:space="preserve">          6276 - PROPERTY TAX</v>
      </c>
      <c r="C170" s="11"/>
      <c r="D170" s="7"/>
      <c r="E170" s="2"/>
      <c r="F170" s="6">
        <f t="shared" si="72"/>
        <v>0</v>
      </c>
      <c r="G170" s="2"/>
      <c r="H170" s="7"/>
      <c r="I170" s="2"/>
      <c r="J170" s="6">
        <f t="shared" si="73"/>
        <v>0</v>
      </c>
      <c r="K170" s="2"/>
      <c r="L170" s="7">
        <f t="shared" si="74"/>
        <v>0</v>
      </c>
      <c r="M170" s="2"/>
      <c r="N170" s="6">
        <f t="shared" si="75"/>
        <v>0</v>
      </c>
      <c r="O170" s="11"/>
      <c r="P170" s="7"/>
      <c r="Q170" s="2"/>
      <c r="R170" s="6">
        <f t="shared" si="76"/>
        <v>0</v>
      </c>
      <c r="S170" s="2"/>
      <c r="T170" s="7">
        <v>150</v>
      </c>
      <c r="U170" s="2"/>
      <c r="V170" s="6">
        <f t="shared" si="77"/>
        <v>1.8308745501846377E-5</v>
      </c>
      <c r="W170" s="2"/>
      <c r="X170" s="7">
        <f t="shared" si="78"/>
        <v>-150</v>
      </c>
      <c r="Y170" s="2"/>
      <c r="Z170" s="6">
        <f t="shared" si="79"/>
        <v>-1</v>
      </c>
    </row>
    <row r="171" spans="1:26" s="24" customFormat="1" hidden="1" outlineLevel="2" x14ac:dyDescent="0.25">
      <c r="A171" s="26"/>
      <c r="B171" s="11" t="str">
        <f>CONCATENATE("          ", "6279", " - ", "GENERAL EXPENSE")</f>
        <v xml:space="preserve">          6279 - GENERAL EXPENSE</v>
      </c>
      <c r="C171" s="11"/>
      <c r="D171" s="7">
        <v>93.84</v>
      </c>
      <c r="E171" s="2"/>
      <c r="F171" s="6">
        <f t="shared" si="72"/>
        <v>2.1401877239297411E-4</v>
      </c>
      <c r="G171" s="2"/>
      <c r="H171" s="7">
        <v>750</v>
      </c>
      <c r="I171" s="2"/>
      <c r="J171" s="6">
        <f t="shared" si="73"/>
        <v>1.5827459587219855E-3</v>
      </c>
      <c r="K171" s="2"/>
      <c r="L171" s="7">
        <f t="shared" si="74"/>
        <v>-656.16</v>
      </c>
      <c r="M171" s="2"/>
      <c r="N171" s="6">
        <f t="shared" si="75"/>
        <v>-0.87487999999999999</v>
      </c>
      <c r="O171" s="11"/>
      <c r="P171" s="7">
        <v>2603.63</v>
      </c>
      <c r="Q171" s="2"/>
      <c r="R171" s="6">
        <f t="shared" si="76"/>
        <v>5.5365291009277509E-4</v>
      </c>
      <c r="S171" s="2"/>
      <c r="T171" s="7">
        <v>8350</v>
      </c>
      <c r="U171" s="2"/>
      <c r="V171" s="6">
        <f t="shared" si="77"/>
        <v>1.0191868329361149E-3</v>
      </c>
      <c r="W171" s="2"/>
      <c r="X171" s="7">
        <f t="shared" si="78"/>
        <v>-5746.37</v>
      </c>
      <c r="Y171" s="2"/>
      <c r="Z171" s="6">
        <f t="shared" si="79"/>
        <v>-0.68818802395209577</v>
      </c>
    </row>
    <row r="172" spans="1:26" s="25" customFormat="1" outlineLevel="1" collapsed="1" x14ac:dyDescent="0.25">
      <c r="A172" s="27"/>
      <c r="B172" s="13" t="str">
        <f>CONCATENATE("     ","Insurance                                         ")</f>
        <v xml:space="preserve">     Insurance                                         </v>
      </c>
      <c r="C172" s="13"/>
      <c r="D172" s="1">
        <f>SUM(OSRRefD22_12x_0)</f>
        <v>4044.74</v>
      </c>
      <c r="E172" s="1"/>
      <c r="F172" s="5">
        <f t="shared" ref="F172:F176" si="80">IF(D$12=0,0,D172/D$12)</f>
        <v>9.2247473300166027E-3</v>
      </c>
      <c r="G172" s="1"/>
      <c r="H172" s="1">
        <f>SUM(OSRRefH22_12x_0)</f>
        <v>4446</v>
      </c>
      <c r="I172" s="1"/>
      <c r="J172" s="5">
        <f t="shared" ref="J172:J176" si="81">IF(H$12=0,0,H172/H$12)</f>
        <v>9.3825180433039293E-3</v>
      </c>
      <c r="K172" s="1"/>
      <c r="L172" s="1">
        <f t="shared" ref="L172:L176" si="82">+D172-H172</f>
        <v>-401.26000000000022</v>
      </c>
      <c r="M172" s="1"/>
      <c r="N172" s="5">
        <f t="shared" ref="N172:N176" si="83">IF(H172=0,0,L172/H172)</f>
        <v>-9.0251911830859247E-2</v>
      </c>
      <c r="O172" s="13"/>
      <c r="P172" s="1">
        <f>SUM(OSRRefP22_12x_0)</f>
        <v>40447.4</v>
      </c>
      <c r="Q172" s="1"/>
      <c r="R172" s="5">
        <f t="shared" ref="R172:R176" si="84">IF(P$12=0,0,P172/P$12)</f>
        <v>8.6009996488312524E-3</v>
      </c>
      <c r="S172" s="1"/>
      <c r="T172" s="1">
        <f>SUM(OSRRefT22_12x_0)</f>
        <v>44460</v>
      </c>
      <c r="U172" s="1"/>
      <c r="V172" s="5">
        <f t="shared" ref="V172:V176" si="85">IF(T$12=0,0,T172/T$12)</f>
        <v>5.4267121667472655E-3</v>
      </c>
      <c r="W172" s="1"/>
      <c r="X172" s="1">
        <f t="shared" ref="X172:X176" si="86">+P172-T172</f>
        <v>-4012.5999999999985</v>
      </c>
      <c r="Y172" s="1"/>
      <c r="Z172" s="5">
        <f t="shared" ref="Z172:Z176" si="87">IF(T172=0,0,X172/T172)</f>
        <v>-9.0251911830859163E-2</v>
      </c>
    </row>
    <row r="173" spans="1:26" s="24" customFormat="1" hidden="1" outlineLevel="2" x14ac:dyDescent="0.25">
      <c r="A173" s="26"/>
      <c r="B173" s="11" t="str">
        <f>CONCATENATE("          ", "6314", " - ", "LIABILITY INSURANCE")</f>
        <v xml:space="preserve">          6314 - LIABILITY INSURANCE</v>
      </c>
      <c r="C173" s="11"/>
      <c r="D173" s="7">
        <v>4044.74</v>
      </c>
      <c r="E173" s="2"/>
      <c r="F173" s="6">
        <f t="shared" si="80"/>
        <v>9.2247473300166027E-3</v>
      </c>
      <c r="G173" s="2"/>
      <c r="H173" s="7">
        <v>4446</v>
      </c>
      <c r="I173" s="2"/>
      <c r="J173" s="6">
        <f t="shared" si="81"/>
        <v>9.3825180433039293E-3</v>
      </c>
      <c r="K173" s="2"/>
      <c r="L173" s="7">
        <f t="shared" si="82"/>
        <v>-401.26000000000022</v>
      </c>
      <c r="M173" s="2"/>
      <c r="N173" s="6">
        <f t="shared" si="83"/>
        <v>-9.0251911830859247E-2</v>
      </c>
      <c r="O173" s="11"/>
      <c r="P173" s="7">
        <v>40447.4</v>
      </c>
      <c r="Q173" s="2"/>
      <c r="R173" s="6">
        <f t="shared" si="84"/>
        <v>8.6009996488312524E-3</v>
      </c>
      <c r="S173" s="2"/>
      <c r="T173" s="7">
        <v>44460</v>
      </c>
      <c r="U173" s="2"/>
      <c r="V173" s="6">
        <f t="shared" si="85"/>
        <v>5.4267121667472655E-3</v>
      </c>
      <c r="W173" s="2"/>
      <c r="X173" s="7">
        <f t="shared" si="86"/>
        <v>-4012.5999999999985</v>
      </c>
      <c r="Y173" s="2"/>
      <c r="Z173" s="6">
        <f t="shared" si="87"/>
        <v>-9.0251911830859163E-2</v>
      </c>
    </row>
    <row r="174" spans="1:26" s="25" customFormat="1" outlineLevel="1" collapsed="1" x14ac:dyDescent="0.25">
      <c r="A174" s="27"/>
      <c r="B174" s="13" t="str">
        <f>CONCATENATE("     ","Inventory Adjustment                              ")</f>
        <v xml:space="preserve">     Inventory Adjustment                              </v>
      </c>
      <c r="C174" s="13"/>
      <c r="D174" s="1">
        <f>SUM(OSRRefD22_13x_0)</f>
        <v>2100</v>
      </c>
      <c r="E174" s="1"/>
      <c r="F174" s="5">
        <f t="shared" si="80"/>
        <v>4.789422655853001E-3</v>
      </c>
      <c r="G174" s="1"/>
      <c r="H174" s="1">
        <f>SUM(OSRRefH22_13x_0)</f>
        <v>3100</v>
      </c>
      <c r="I174" s="1"/>
      <c r="J174" s="5">
        <f t="shared" si="81"/>
        <v>6.5420166293842065E-3</v>
      </c>
      <c r="K174" s="1"/>
      <c r="L174" s="1">
        <f t="shared" si="82"/>
        <v>-1000</v>
      </c>
      <c r="M174" s="1"/>
      <c r="N174" s="5">
        <f t="shared" si="83"/>
        <v>-0.32258064516129031</v>
      </c>
      <c r="O174" s="13"/>
      <c r="P174" s="1">
        <f>SUM(OSRRefP22_13x_0)</f>
        <v>26000</v>
      </c>
      <c r="Q174" s="1"/>
      <c r="R174" s="5">
        <f t="shared" si="84"/>
        <v>5.5288100315375663E-3</v>
      </c>
      <c r="S174" s="1"/>
      <c r="T174" s="1">
        <f>SUM(OSRRefT22_13x_0)</f>
        <v>36000</v>
      </c>
      <c r="U174" s="1"/>
      <c r="V174" s="5">
        <f t="shared" si="85"/>
        <v>4.3940989204431305E-3</v>
      </c>
      <c r="W174" s="1"/>
      <c r="X174" s="1">
        <f t="shared" si="86"/>
        <v>-10000</v>
      </c>
      <c r="Y174" s="1"/>
      <c r="Z174" s="5">
        <f t="shared" si="87"/>
        <v>-0.27777777777777779</v>
      </c>
    </row>
    <row r="175" spans="1:26" s="24" customFormat="1" hidden="1" outlineLevel="2" x14ac:dyDescent="0.25">
      <c r="A175" s="26"/>
      <c r="B175" s="11" t="str">
        <f>CONCATENATE("          ", "6408", " - ", "INVENTORY ADJUSTMENT")</f>
        <v xml:space="preserve">          6408 - INVENTORY ADJUSTMENT</v>
      </c>
      <c r="C175" s="11"/>
      <c r="D175" s="7">
        <v>2100</v>
      </c>
      <c r="E175" s="2"/>
      <c r="F175" s="6">
        <f t="shared" si="80"/>
        <v>4.789422655853001E-3</v>
      </c>
      <c r="G175" s="2"/>
      <c r="H175" s="7">
        <v>3100</v>
      </c>
      <c r="I175" s="2"/>
      <c r="J175" s="6">
        <f t="shared" si="81"/>
        <v>6.5420166293842065E-3</v>
      </c>
      <c r="K175" s="2"/>
      <c r="L175" s="7">
        <f t="shared" si="82"/>
        <v>-1000</v>
      </c>
      <c r="M175" s="2"/>
      <c r="N175" s="6">
        <f t="shared" si="83"/>
        <v>-0.32258064516129031</v>
      </c>
      <c r="O175" s="11"/>
      <c r="P175" s="7">
        <v>26000</v>
      </c>
      <c r="Q175" s="2"/>
      <c r="R175" s="6">
        <f t="shared" si="84"/>
        <v>5.5288100315375663E-3</v>
      </c>
      <c r="S175" s="2"/>
      <c r="T175" s="7">
        <v>36000</v>
      </c>
      <c r="U175" s="2"/>
      <c r="V175" s="6">
        <f t="shared" si="85"/>
        <v>4.3940989204431305E-3</v>
      </c>
      <c r="W175" s="2"/>
      <c r="X175" s="7">
        <f t="shared" si="86"/>
        <v>-10000</v>
      </c>
      <c r="Y175" s="2"/>
      <c r="Z175" s="6">
        <f t="shared" si="87"/>
        <v>-0.27777777777777779</v>
      </c>
    </row>
    <row r="176" spans="1:26" s="24" customFormat="1" hidden="1" outlineLevel="2" x14ac:dyDescent="0.25">
      <c r="A176" s="26"/>
      <c r="B176" s="11" t="str">
        <f>CONCATENATE("          ", "7741", " - ", "INV. SHRINKAGE-LOGO GIFTS")</f>
        <v xml:space="preserve">          7741 - INV. SHRINKAGE-LOGO GIFTS</v>
      </c>
      <c r="C176" s="11"/>
      <c r="D176" s="7"/>
      <c r="E176" s="2"/>
      <c r="F176" s="6">
        <f t="shared" si="80"/>
        <v>0</v>
      </c>
      <c r="G176" s="2"/>
      <c r="H176" s="7"/>
      <c r="I176" s="2"/>
      <c r="J176" s="6">
        <f t="shared" si="81"/>
        <v>0</v>
      </c>
      <c r="K176" s="2"/>
      <c r="L176" s="7">
        <f t="shared" si="82"/>
        <v>0</v>
      </c>
      <c r="M176" s="2"/>
      <c r="N176" s="6">
        <f t="shared" si="83"/>
        <v>0</v>
      </c>
      <c r="O176" s="11"/>
      <c r="P176" s="7">
        <v>0</v>
      </c>
      <c r="Q176" s="2"/>
      <c r="R176" s="6">
        <f t="shared" si="84"/>
        <v>0</v>
      </c>
      <c r="S176" s="2"/>
      <c r="T176" s="7"/>
      <c r="U176" s="2"/>
      <c r="V176" s="6">
        <f t="shared" si="85"/>
        <v>0</v>
      </c>
      <c r="W176" s="2"/>
      <c r="X176" s="7">
        <f t="shared" si="86"/>
        <v>0</v>
      </c>
      <c r="Y176" s="2"/>
      <c r="Z176" s="6">
        <f t="shared" si="87"/>
        <v>0</v>
      </c>
    </row>
    <row r="177" spans="1:26" s="25" customFormat="1" outlineLevel="1" collapsed="1" x14ac:dyDescent="0.25">
      <c r="A177" s="27"/>
      <c r="B177" s="13" t="str">
        <f>CONCATENATE("     ","Professional Services                             ")</f>
        <v xml:space="preserve">     Professional Services                             </v>
      </c>
      <c r="C177" s="13"/>
      <c r="D177" s="1">
        <f>SUM(OSRRefD22_14x_0)</f>
        <v>0</v>
      </c>
      <c r="E177" s="1"/>
      <c r="F177" s="5">
        <f t="shared" ref="F177:F185" si="88">IF(D$12=0,0,D177/D$12)</f>
        <v>0</v>
      </c>
      <c r="G177" s="1"/>
      <c r="H177" s="1">
        <f>SUM(OSRRefH22_14x_0)</f>
        <v>250</v>
      </c>
      <c r="I177" s="1"/>
      <c r="J177" s="5">
        <f t="shared" ref="J177:J185" si="89">IF(H$12=0,0,H177/H$12)</f>
        <v>5.2758198624066179E-4</v>
      </c>
      <c r="K177" s="1"/>
      <c r="L177" s="1">
        <f t="shared" ref="L177:L185" si="90">+D177-H177</f>
        <v>-250</v>
      </c>
      <c r="M177" s="1"/>
      <c r="N177" s="5">
        <f t="shared" ref="N177:N185" si="91">IF(H177=0,0,L177/H177)</f>
        <v>-1</v>
      </c>
      <c r="O177" s="13"/>
      <c r="P177" s="1">
        <f>SUM(OSRRefP22_14x_0)</f>
        <v>0</v>
      </c>
      <c r="Q177" s="1"/>
      <c r="R177" s="5">
        <f t="shared" ref="R177:R185" si="92">IF(P$12=0,0,P177/P$12)</f>
        <v>0</v>
      </c>
      <c r="S177" s="1"/>
      <c r="T177" s="1">
        <f>SUM(OSRRefT22_14x_0)</f>
        <v>7300</v>
      </c>
      <c r="U177" s="1"/>
      <c r="V177" s="5">
        <f t="shared" ref="V177:V185" si="93">IF(T$12=0,0,T177/T$12)</f>
        <v>8.9102561442319032E-4</v>
      </c>
      <c r="W177" s="1"/>
      <c r="X177" s="1">
        <f t="shared" ref="X177:X185" si="94">+P177-T177</f>
        <v>-7300</v>
      </c>
      <c r="Y177" s="1"/>
      <c r="Z177" s="5">
        <f t="shared" ref="Z177:Z185" si="95">IF(T177=0,0,X177/T177)</f>
        <v>-1</v>
      </c>
    </row>
    <row r="178" spans="1:26" s="24" customFormat="1" hidden="1" outlineLevel="2" x14ac:dyDescent="0.25">
      <c r="A178" s="26"/>
      <c r="B178" s="11" t="str">
        <f>CONCATENATE("          ", "6336", " - ", "PROFESSIONAL SERVICES")</f>
        <v xml:space="preserve">          6336 - PROFESSIONAL SERVICES</v>
      </c>
      <c r="C178" s="11"/>
      <c r="D178" s="7"/>
      <c r="E178" s="2"/>
      <c r="F178" s="6">
        <f t="shared" si="88"/>
        <v>0</v>
      </c>
      <c r="G178" s="2"/>
      <c r="H178" s="7">
        <v>250</v>
      </c>
      <c r="I178" s="2"/>
      <c r="J178" s="6">
        <f t="shared" si="89"/>
        <v>5.2758198624066179E-4</v>
      </c>
      <c r="K178" s="2"/>
      <c r="L178" s="7">
        <f t="shared" si="90"/>
        <v>-250</v>
      </c>
      <c r="M178" s="2"/>
      <c r="N178" s="6">
        <f t="shared" si="91"/>
        <v>-1</v>
      </c>
      <c r="O178" s="11"/>
      <c r="P178" s="7"/>
      <c r="Q178" s="2"/>
      <c r="R178" s="6">
        <f t="shared" si="92"/>
        <v>0</v>
      </c>
      <c r="S178" s="2"/>
      <c r="T178" s="7">
        <v>7300</v>
      </c>
      <c r="U178" s="2"/>
      <c r="V178" s="6">
        <f t="shared" si="93"/>
        <v>8.9102561442319032E-4</v>
      </c>
      <c r="W178" s="2"/>
      <c r="X178" s="7">
        <f t="shared" si="94"/>
        <v>-7300</v>
      </c>
      <c r="Y178" s="2"/>
      <c r="Z178" s="6">
        <f t="shared" si="95"/>
        <v>-1</v>
      </c>
    </row>
    <row r="179" spans="1:26" s="25" customFormat="1" outlineLevel="1" collapsed="1" x14ac:dyDescent="0.25">
      <c r="A179" s="27"/>
      <c r="B179" s="13" t="str">
        <f>CONCATENATE("     ","Rent                                              ")</f>
        <v xml:space="preserve">     Rent                                              </v>
      </c>
      <c r="C179" s="13"/>
      <c r="D179" s="1">
        <f>SUM(OSRRefD22_15x_0)</f>
        <v>6100</v>
      </c>
      <c r="E179" s="1"/>
      <c r="F179" s="5">
        <f t="shared" si="88"/>
        <v>1.3912132476525384E-2</v>
      </c>
      <c r="G179" s="1"/>
      <c r="H179" s="1">
        <f>SUM(OSRRefH22_15x_0)</f>
        <v>6100</v>
      </c>
      <c r="I179" s="1"/>
      <c r="J179" s="5">
        <f t="shared" si="89"/>
        <v>1.2873000464272148E-2</v>
      </c>
      <c r="K179" s="1"/>
      <c r="L179" s="1">
        <f t="shared" si="90"/>
        <v>0</v>
      </c>
      <c r="M179" s="1"/>
      <c r="N179" s="5">
        <f t="shared" si="91"/>
        <v>0</v>
      </c>
      <c r="O179" s="13"/>
      <c r="P179" s="1">
        <f>SUM(OSRRefP22_15x_0)</f>
        <v>61000</v>
      </c>
      <c r="Q179" s="1"/>
      <c r="R179" s="5">
        <f t="shared" si="92"/>
        <v>1.2971438920145828E-2</v>
      </c>
      <c r="S179" s="1"/>
      <c r="T179" s="1">
        <f>SUM(OSRRefT22_15x_0)</f>
        <v>61001</v>
      </c>
      <c r="U179" s="1"/>
      <c r="V179" s="5">
        <f t="shared" si="93"/>
        <v>7.4456785623875383E-3</v>
      </c>
      <c r="W179" s="1"/>
      <c r="X179" s="1">
        <f t="shared" si="94"/>
        <v>-1</v>
      </c>
      <c r="Y179" s="1"/>
      <c r="Z179" s="5">
        <f t="shared" si="95"/>
        <v>-1.639317388239537E-5</v>
      </c>
    </row>
    <row r="180" spans="1:26" s="24" customFormat="1" hidden="1" outlineLevel="2" x14ac:dyDescent="0.25">
      <c r="A180" s="26"/>
      <c r="B180" s="11" t="str">
        <f>CONCATENATE("          ", "6273", " - ", "RENT")</f>
        <v xml:space="preserve">          6273 - RENT</v>
      </c>
      <c r="C180" s="11"/>
      <c r="D180" s="7">
        <v>6100</v>
      </c>
      <c r="E180" s="2"/>
      <c r="F180" s="6">
        <f t="shared" si="88"/>
        <v>1.3912132476525384E-2</v>
      </c>
      <c r="G180" s="2"/>
      <c r="H180" s="7">
        <v>6100</v>
      </c>
      <c r="I180" s="2"/>
      <c r="J180" s="6">
        <f t="shared" si="89"/>
        <v>1.2873000464272148E-2</v>
      </c>
      <c r="K180" s="2"/>
      <c r="L180" s="7">
        <f t="shared" si="90"/>
        <v>0</v>
      </c>
      <c r="M180" s="2"/>
      <c r="N180" s="6">
        <f t="shared" si="91"/>
        <v>0</v>
      </c>
      <c r="O180" s="11"/>
      <c r="P180" s="7">
        <v>61000</v>
      </c>
      <c r="Q180" s="2"/>
      <c r="R180" s="6">
        <f t="shared" si="92"/>
        <v>1.2971438920145828E-2</v>
      </c>
      <c r="S180" s="2"/>
      <c r="T180" s="7">
        <v>61001</v>
      </c>
      <c r="U180" s="2"/>
      <c r="V180" s="6">
        <f t="shared" si="93"/>
        <v>7.4456785623875383E-3</v>
      </c>
      <c r="W180" s="2"/>
      <c r="X180" s="7">
        <f t="shared" si="94"/>
        <v>-1</v>
      </c>
      <c r="Y180" s="2"/>
      <c r="Z180" s="6">
        <f t="shared" si="95"/>
        <v>-1.639317388239537E-5</v>
      </c>
    </row>
    <row r="181" spans="1:26" s="25" customFormat="1" outlineLevel="1" collapsed="1" x14ac:dyDescent="0.25">
      <c r="A181" s="27"/>
      <c r="B181" s="13" t="str">
        <f>CONCATENATE("     ","Repair and Maintenance                            ")</f>
        <v xml:space="preserve">     Repair and Maintenance                            </v>
      </c>
      <c r="C181" s="13"/>
      <c r="D181" s="1">
        <f>SUM(OSRRefD22_16x_0)</f>
        <v>2485.83</v>
      </c>
      <c r="E181" s="1"/>
      <c r="F181" s="5">
        <f t="shared" si="88"/>
        <v>5.6693764383805067E-3</v>
      </c>
      <c r="G181" s="1"/>
      <c r="H181" s="1">
        <f>SUM(OSRRefH22_16x_0)</f>
        <v>14140</v>
      </c>
      <c r="I181" s="1"/>
      <c r="J181" s="5">
        <f t="shared" si="89"/>
        <v>2.984003714177183E-2</v>
      </c>
      <c r="K181" s="1"/>
      <c r="L181" s="1">
        <f t="shared" si="90"/>
        <v>-11654.17</v>
      </c>
      <c r="M181" s="1"/>
      <c r="N181" s="5">
        <f t="shared" si="91"/>
        <v>-0.82419872701555874</v>
      </c>
      <c r="O181" s="13"/>
      <c r="P181" s="1">
        <f>SUM(OSRRefP22_16x_0)</f>
        <v>132915.69</v>
      </c>
      <c r="Q181" s="1"/>
      <c r="R181" s="5">
        <f t="shared" si="92"/>
        <v>2.8264061546951436E-2</v>
      </c>
      <c r="S181" s="1"/>
      <c r="T181" s="1">
        <f>SUM(OSRRefT22_16x_0)</f>
        <v>194850</v>
      </c>
      <c r="U181" s="1"/>
      <c r="V181" s="5">
        <f t="shared" si="93"/>
        <v>2.3783060406898444E-2</v>
      </c>
      <c r="W181" s="1"/>
      <c r="X181" s="1">
        <f t="shared" si="94"/>
        <v>-61934.31</v>
      </c>
      <c r="Y181" s="1"/>
      <c r="Z181" s="5">
        <f t="shared" si="95"/>
        <v>-0.31785635103926096</v>
      </c>
    </row>
    <row r="182" spans="1:26" s="24" customFormat="1" hidden="1" outlineLevel="2" x14ac:dyDescent="0.25">
      <c r="A182" s="26"/>
      <c r="B182" s="11" t="str">
        <f>CONCATENATE("          ", "6371", " - ", "COMPUTER SOFTWARE MAINTENANCE")</f>
        <v xml:space="preserve">          6371 - COMPUTER SOFTWARE MAINTENANCE</v>
      </c>
      <c r="C182" s="11"/>
      <c r="D182" s="7"/>
      <c r="E182" s="2"/>
      <c r="F182" s="6">
        <f t="shared" si="88"/>
        <v>0</v>
      </c>
      <c r="G182" s="2"/>
      <c r="H182" s="7"/>
      <c r="I182" s="2"/>
      <c r="J182" s="6">
        <f t="shared" si="89"/>
        <v>0</v>
      </c>
      <c r="K182" s="2"/>
      <c r="L182" s="7">
        <f t="shared" si="90"/>
        <v>0</v>
      </c>
      <c r="M182" s="2"/>
      <c r="N182" s="6">
        <f t="shared" si="91"/>
        <v>0</v>
      </c>
      <c r="O182" s="11"/>
      <c r="P182" s="7">
        <v>59767.72</v>
      </c>
      <c r="Q182" s="2"/>
      <c r="R182" s="6">
        <f t="shared" si="92"/>
        <v>1.2709398842235708E-2</v>
      </c>
      <c r="S182" s="2"/>
      <c r="T182" s="7">
        <v>45000</v>
      </c>
      <c r="U182" s="2"/>
      <c r="V182" s="6">
        <f t="shared" si="93"/>
        <v>5.4926236505539131E-3</v>
      </c>
      <c r="W182" s="2"/>
      <c r="X182" s="7">
        <f t="shared" si="94"/>
        <v>14767.720000000001</v>
      </c>
      <c r="Y182" s="2"/>
      <c r="Z182" s="6">
        <f t="shared" si="95"/>
        <v>0.32817155555555561</v>
      </c>
    </row>
    <row r="183" spans="1:26" s="24" customFormat="1" hidden="1" outlineLevel="2" x14ac:dyDescent="0.25">
      <c r="A183" s="26"/>
      <c r="B183" s="11" t="str">
        <f>CONCATENATE("          ", "6372", " - ", "COMPUTER HARDWARE MAINTENANCE")</f>
        <v xml:space="preserve">          6372 - COMPUTER HARDWARE MAINTENANCE</v>
      </c>
      <c r="C183" s="11"/>
      <c r="D183" s="7"/>
      <c r="E183" s="2"/>
      <c r="F183" s="6">
        <f t="shared" si="88"/>
        <v>0</v>
      </c>
      <c r="G183" s="2"/>
      <c r="H183" s="7"/>
      <c r="I183" s="2"/>
      <c r="J183" s="6">
        <f t="shared" si="89"/>
        <v>0</v>
      </c>
      <c r="K183" s="2"/>
      <c r="L183" s="7">
        <f t="shared" si="90"/>
        <v>0</v>
      </c>
      <c r="M183" s="2"/>
      <c r="N183" s="6">
        <f t="shared" si="91"/>
        <v>0</v>
      </c>
      <c r="O183" s="11"/>
      <c r="P183" s="7">
        <v>-1.1499999999999999</v>
      </c>
      <c r="Q183" s="2"/>
      <c r="R183" s="6">
        <f t="shared" si="92"/>
        <v>-2.4454352062570001E-7</v>
      </c>
      <c r="S183" s="2"/>
      <c r="T183" s="7"/>
      <c r="U183" s="2"/>
      <c r="V183" s="6">
        <f t="shared" si="93"/>
        <v>0</v>
      </c>
      <c r="W183" s="2"/>
      <c r="X183" s="7">
        <f t="shared" si="94"/>
        <v>-1.1499999999999999</v>
      </c>
      <c r="Y183" s="2"/>
      <c r="Z183" s="6">
        <f t="shared" si="95"/>
        <v>0</v>
      </c>
    </row>
    <row r="184" spans="1:26" s="24" customFormat="1" hidden="1" outlineLevel="2" x14ac:dyDescent="0.25">
      <c r="A184" s="26"/>
      <c r="B184" s="11" t="str">
        <f>CONCATENATE("          ", "6373", " - ", "MAINTENANCE CONTRACTS")</f>
        <v xml:space="preserve">          6373 - MAINTENANCE CONTRACTS</v>
      </c>
      <c r="C184" s="11"/>
      <c r="D184" s="7">
        <v>1429</v>
      </c>
      <c r="E184" s="2"/>
      <c r="F184" s="6">
        <f t="shared" si="88"/>
        <v>3.2590880834352087E-3</v>
      </c>
      <c r="G184" s="2"/>
      <c r="H184" s="7">
        <v>5740</v>
      </c>
      <c r="I184" s="2"/>
      <c r="J184" s="6">
        <f t="shared" si="89"/>
        <v>1.2113282404085594E-2</v>
      </c>
      <c r="K184" s="2"/>
      <c r="L184" s="7">
        <f t="shared" si="90"/>
        <v>-4311</v>
      </c>
      <c r="M184" s="2"/>
      <c r="N184" s="6">
        <f t="shared" si="91"/>
        <v>-0.75104529616724736</v>
      </c>
      <c r="O184" s="11"/>
      <c r="P184" s="7">
        <v>46118.58</v>
      </c>
      <c r="Q184" s="2"/>
      <c r="R184" s="6">
        <f t="shared" si="92"/>
        <v>9.8069564517026062E-3</v>
      </c>
      <c r="S184" s="2"/>
      <c r="T184" s="7">
        <v>65500</v>
      </c>
      <c r="U184" s="2"/>
      <c r="V184" s="6">
        <f t="shared" si="93"/>
        <v>7.994818869139584E-3</v>
      </c>
      <c r="W184" s="2"/>
      <c r="X184" s="7">
        <f t="shared" si="94"/>
        <v>-19381.419999999998</v>
      </c>
      <c r="Y184" s="2"/>
      <c r="Z184" s="6">
        <f t="shared" si="95"/>
        <v>-0.29589954198473278</v>
      </c>
    </row>
    <row r="185" spans="1:26" s="24" customFormat="1" hidden="1" outlineLevel="2" x14ac:dyDescent="0.25">
      <c r="A185" s="26"/>
      <c r="B185" s="11" t="str">
        <f>CONCATENATE("          ", "6375", " - ", "OUTSIDE REPAIRS &amp; MAINTENANCE")</f>
        <v xml:space="preserve">          6375 - OUTSIDE REPAIRS &amp; MAINTENANCE</v>
      </c>
      <c r="C185" s="11"/>
      <c r="D185" s="7">
        <v>1056.83</v>
      </c>
      <c r="E185" s="2"/>
      <c r="F185" s="6">
        <f t="shared" si="88"/>
        <v>2.4102883549452984E-3</v>
      </c>
      <c r="G185" s="2"/>
      <c r="H185" s="7">
        <v>8400</v>
      </c>
      <c r="I185" s="2"/>
      <c r="J185" s="6">
        <f t="shared" si="89"/>
        <v>1.7726754737686236E-2</v>
      </c>
      <c r="K185" s="2"/>
      <c r="L185" s="7">
        <f t="shared" si="90"/>
        <v>-7343.17</v>
      </c>
      <c r="M185" s="2"/>
      <c r="N185" s="6">
        <f t="shared" si="91"/>
        <v>-0.87418690476190475</v>
      </c>
      <c r="O185" s="11"/>
      <c r="P185" s="7">
        <v>27030.54</v>
      </c>
      <c r="Q185" s="2"/>
      <c r="R185" s="6">
        <f t="shared" si="92"/>
        <v>5.7479507965337477E-3</v>
      </c>
      <c r="S185" s="2"/>
      <c r="T185" s="7">
        <v>84350</v>
      </c>
      <c r="U185" s="2"/>
      <c r="V185" s="6">
        <f t="shared" si="93"/>
        <v>1.0295617887204945E-2</v>
      </c>
      <c r="W185" s="2"/>
      <c r="X185" s="7">
        <f t="shared" si="94"/>
        <v>-57319.46</v>
      </c>
      <c r="Y185" s="2"/>
      <c r="Z185" s="6">
        <f t="shared" si="95"/>
        <v>-0.67954309425014814</v>
      </c>
    </row>
    <row r="186" spans="1:26" s="25" customFormat="1" outlineLevel="1" collapsed="1" x14ac:dyDescent="0.25">
      <c r="A186" s="27"/>
      <c r="B186" s="13" t="str">
        <f>CONCATENATE("     ","Royalty &amp; Commissions                             ")</f>
        <v xml:space="preserve">     Royalty &amp; Commissions                             </v>
      </c>
      <c r="C186" s="13"/>
      <c r="D186" s="1">
        <f>SUM(OSRRefD22_17x_0)</f>
        <v>11531.75</v>
      </c>
      <c r="E186" s="1"/>
      <c r="F186" s="5">
        <f t="shared" ref="F186:F190" si="96">IF(D$12=0,0,D186/D$12)</f>
        <v>2.6300202243634687E-2</v>
      </c>
      <c r="G186" s="1"/>
      <c r="H186" s="1">
        <f>SUM(OSRRefH22_17x_0)</f>
        <v>14971</v>
      </c>
      <c r="I186" s="1"/>
      <c r="J186" s="5">
        <f t="shared" ref="J186:J190" si="97">IF(H$12=0,0,H186/H$12)</f>
        <v>3.1593719664035791E-2</v>
      </c>
      <c r="K186" s="1"/>
      <c r="L186" s="1">
        <f t="shared" ref="L186:L190" si="98">+D186-H186</f>
        <v>-3439.25</v>
      </c>
      <c r="M186" s="1"/>
      <c r="N186" s="5">
        <f t="shared" ref="N186:N190" si="99">IF(H186=0,0,L186/H186)</f>
        <v>-0.22972747311468839</v>
      </c>
      <c r="O186" s="13"/>
      <c r="P186" s="1">
        <f>SUM(OSRRefP22_17x_0)</f>
        <v>48392.95</v>
      </c>
      <c r="Q186" s="1"/>
      <c r="R186" s="5">
        <f t="shared" ref="R186:R190" si="100">IF(P$12=0,0,P186/P$12)</f>
        <v>1.0290593362142147E-2</v>
      </c>
      <c r="S186" s="1"/>
      <c r="T186" s="1">
        <f>SUM(OSRRefT22_17x_0)</f>
        <v>94960</v>
      </c>
      <c r="U186" s="1"/>
      <c r="V186" s="5">
        <f t="shared" ref="V186:V190" si="101">IF(T$12=0,0,T186/T$12)</f>
        <v>1.1590656485702212E-2</v>
      </c>
      <c r="W186" s="1"/>
      <c r="X186" s="1">
        <f t="shared" ref="X186:X190" si="102">+P186-T186</f>
        <v>-46567.05</v>
      </c>
      <c r="Y186" s="1"/>
      <c r="Z186" s="5">
        <f t="shared" ref="Z186:Z190" si="103">IF(T186=0,0,X186/T186)</f>
        <v>-0.49038595197978097</v>
      </c>
    </row>
    <row r="187" spans="1:26" s="24" customFormat="1" hidden="1" outlineLevel="2" x14ac:dyDescent="0.25">
      <c r="A187" s="26"/>
      <c r="B187" s="11" t="str">
        <f>CONCATENATE("          ", "6252", " - ", "ROYALTY DUE CSTV")</f>
        <v xml:space="preserve">          6252 - ROYALTY DUE CSTV</v>
      </c>
      <c r="C187" s="11"/>
      <c r="D187" s="7"/>
      <c r="E187" s="2"/>
      <c r="F187" s="6">
        <f t="shared" si="96"/>
        <v>0</v>
      </c>
      <c r="G187" s="2"/>
      <c r="H187" s="7">
        <v>1085</v>
      </c>
      <c r="I187" s="2"/>
      <c r="J187" s="6">
        <f t="shared" si="97"/>
        <v>2.2897058202844722E-3</v>
      </c>
      <c r="K187" s="2"/>
      <c r="L187" s="7">
        <f t="shared" si="98"/>
        <v>-1085</v>
      </c>
      <c r="M187" s="2"/>
      <c r="N187" s="6">
        <f t="shared" si="99"/>
        <v>-1</v>
      </c>
      <c r="O187" s="11"/>
      <c r="P187" s="7"/>
      <c r="Q187" s="2"/>
      <c r="R187" s="6">
        <f t="shared" si="100"/>
        <v>0</v>
      </c>
      <c r="S187" s="2"/>
      <c r="T187" s="7">
        <v>10850</v>
      </c>
      <c r="U187" s="2"/>
      <c r="V187" s="6">
        <f t="shared" si="101"/>
        <v>1.3243325913002211E-3</v>
      </c>
      <c r="W187" s="2"/>
      <c r="X187" s="7">
        <f t="shared" si="102"/>
        <v>-10850</v>
      </c>
      <c r="Y187" s="2"/>
      <c r="Z187" s="6">
        <f t="shared" si="103"/>
        <v>-1</v>
      </c>
    </row>
    <row r="188" spans="1:26" s="24" customFormat="1" hidden="1" outlineLevel="2" x14ac:dyDescent="0.25">
      <c r="A188" s="26"/>
      <c r="B188" s="11" t="str">
        <f>CONCATENATE("          ", "6253", " - ", "ROYALTY DUE ATHLETICS-LRG")</f>
        <v xml:space="preserve">          6253 - ROYALTY DUE ATHLETICS-LRG</v>
      </c>
      <c r="C188" s="11"/>
      <c r="D188" s="7">
        <v>8961.48</v>
      </c>
      <c r="E188" s="2"/>
      <c r="F188" s="6">
        <f t="shared" si="96"/>
        <v>2.0438245400939786E-2</v>
      </c>
      <c r="G188" s="2"/>
      <c r="H188" s="7">
        <v>4037</v>
      </c>
      <c r="I188" s="2"/>
      <c r="J188" s="6">
        <f t="shared" si="97"/>
        <v>8.5193939138142067E-3</v>
      </c>
      <c r="K188" s="2"/>
      <c r="L188" s="7">
        <f t="shared" si="98"/>
        <v>4924.4799999999996</v>
      </c>
      <c r="M188" s="2"/>
      <c r="N188" s="6">
        <f t="shared" si="99"/>
        <v>1.2198365122615802</v>
      </c>
      <c r="O188" s="11"/>
      <c r="P188" s="7">
        <v>35159.06</v>
      </c>
      <c r="Q188" s="2"/>
      <c r="R188" s="6">
        <f t="shared" si="100"/>
        <v>7.4764524472088903E-3</v>
      </c>
      <c r="S188" s="2"/>
      <c r="T188" s="7">
        <v>40370</v>
      </c>
      <c r="U188" s="2"/>
      <c r="V188" s="6">
        <f t="shared" si="101"/>
        <v>4.9274937060635876E-3</v>
      </c>
      <c r="W188" s="2"/>
      <c r="X188" s="7">
        <f t="shared" si="102"/>
        <v>-5210.9400000000023</v>
      </c>
      <c r="Y188" s="2"/>
      <c r="Z188" s="6">
        <f t="shared" si="103"/>
        <v>-0.1290795144909587</v>
      </c>
    </row>
    <row r="189" spans="1:26" s="24" customFormat="1" hidden="1" outlineLevel="2" x14ac:dyDescent="0.25">
      <c r="A189" s="26"/>
      <c r="B189" s="11" t="str">
        <f>CONCATENATE("          ", "6254", " - ", "ROYALTY &amp; COMMISSIONS")</f>
        <v xml:space="preserve">          6254 - ROYALTY &amp; COMMISSIONS</v>
      </c>
      <c r="C189" s="11"/>
      <c r="D189" s="7"/>
      <c r="E189" s="2"/>
      <c r="F189" s="6">
        <f t="shared" si="96"/>
        <v>0</v>
      </c>
      <c r="G189" s="2"/>
      <c r="H189" s="7">
        <v>1149</v>
      </c>
      <c r="I189" s="2"/>
      <c r="J189" s="6">
        <f t="shared" si="97"/>
        <v>2.4247668087620817E-3</v>
      </c>
      <c r="K189" s="2"/>
      <c r="L189" s="7">
        <f t="shared" si="98"/>
        <v>-1149</v>
      </c>
      <c r="M189" s="2"/>
      <c r="N189" s="6">
        <f t="shared" si="99"/>
        <v>-1</v>
      </c>
      <c r="O189" s="11"/>
      <c r="P189" s="7"/>
      <c r="Q189" s="2"/>
      <c r="R189" s="6">
        <f t="shared" si="100"/>
        <v>0</v>
      </c>
      <c r="S189" s="2"/>
      <c r="T189" s="7">
        <v>11490</v>
      </c>
      <c r="U189" s="2"/>
      <c r="V189" s="6">
        <f t="shared" si="101"/>
        <v>1.4024499054414324E-3</v>
      </c>
      <c r="W189" s="2"/>
      <c r="X189" s="7">
        <f t="shared" si="102"/>
        <v>-11490</v>
      </c>
      <c r="Y189" s="2"/>
      <c r="Z189" s="6">
        <f t="shared" si="103"/>
        <v>-1</v>
      </c>
    </row>
    <row r="190" spans="1:26" s="24" customFormat="1" hidden="1" outlineLevel="2" x14ac:dyDescent="0.25">
      <c r="A190" s="26"/>
      <c r="B190" s="11" t="str">
        <f>CONCATENATE("          ", "6259", " - ", "ROYALTY &amp; COMMISSIONS")</f>
        <v xml:space="preserve">          6259 - ROYALTY &amp; COMMISSIONS</v>
      </c>
      <c r="C190" s="11"/>
      <c r="D190" s="7">
        <v>2570.27</v>
      </c>
      <c r="E190" s="2"/>
      <c r="F190" s="6">
        <f t="shared" si="96"/>
        <v>5.8619568426949015E-3</v>
      </c>
      <c r="G190" s="2"/>
      <c r="H190" s="7">
        <v>8700</v>
      </c>
      <c r="I190" s="2"/>
      <c r="J190" s="6">
        <f t="shared" si="97"/>
        <v>1.8359853121175031E-2</v>
      </c>
      <c r="K190" s="2"/>
      <c r="L190" s="7">
        <f t="shared" si="98"/>
        <v>-6129.73</v>
      </c>
      <c r="M190" s="2"/>
      <c r="N190" s="6">
        <f t="shared" si="99"/>
        <v>-0.70456666666666656</v>
      </c>
      <c r="O190" s="11"/>
      <c r="P190" s="7">
        <v>13233.89</v>
      </c>
      <c r="Q190" s="2"/>
      <c r="R190" s="6">
        <f t="shared" si="100"/>
        <v>2.8141409149332569E-3</v>
      </c>
      <c r="S190" s="2"/>
      <c r="T190" s="7">
        <v>32250</v>
      </c>
      <c r="U190" s="2"/>
      <c r="V190" s="6">
        <f t="shared" si="101"/>
        <v>3.9363802828969712E-3</v>
      </c>
      <c r="W190" s="2"/>
      <c r="X190" s="7">
        <f t="shared" si="102"/>
        <v>-19016.11</v>
      </c>
      <c r="Y190" s="2"/>
      <c r="Z190" s="6">
        <f t="shared" si="103"/>
        <v>-0.58964682170542637</v>
      </c>
    </row>
    <row r="191" spans="1:26" s="25" customFormat="1" outlineLevel="1" collapsed="1" x14ac:dyDescent="0.25">
      <c r="A191" s="27"/>
      <c r="B191" s="13" t="str">
        <f>CONCATENATE("     ","Services                                          ")</f>
        <v xml:space="preserve">     Services                                          </v>
      </c>
      <c r="C191" s="13"/>
      <c r="D191" s="1">
        <f>SUM(OSRRefD22_18x_0)</f>
        <v>4006.32</v>
      </c>
      <c r="E191" s="1"/>
      <c r="F191" s="5">
        <f t="shared" ref="F191:F195" si="104">IF(D$12=0,0,D191/D$12)</f>
        <v>9.1371237021890452E-3</v>
      </c>
      <c r="G191" s="1"/>
      <c r="H191" s="1">
        <f>SUM(OSRRefH22_18x_0)</f>
        <v>4829</v>
      </c>
      <c r="I191" s="1"/>
      <c r="J191" s="5">
        <f t="shared" ref="J191:J195" si="105">IF(H$12=0,0,H191/H$12)</f>
        <v>1.0190773646224623E-2</v>
      </c>
      <c r="K191" s="1"/>
      <c r="L191" s="1">
        <f t="shared" ref="L191:L195" si="106">+D191-H191</f>
        <v>-822.67999999999984</v>
      </c>
      <c r="M191" s="1"/>
      <c r="N191" s="5">
        <f t="shared" ref="N191:N195" si="107">IF(H191=0,0,L191/H191)</f>
        <v>-0.1703623938703665</v>
      </c>
      <c r="O191" s="13"/>
      <c r="P191" s="1">
        <f>SUM(OSRRefP22_18x_0)</f>
        <v>40143.980000000003</v>
      </c>
      <c r="Q191" s="1"/>
      <c r="R191" s="5">
        <f t="shared" ref="R191:R195" si="108">IF(P$12=0,0,P191/P$12)</f>
        <v>8.5364784357632086E-3</v>
      </c>
      <c r="S191" s="1"/>
      <c r="T191" s="1">
        <f>SUM(OSRRefT22_18x_0)</f>
        <v>47606</v>
      </c>
      <c r="U191" s="1"/>
      <c r="V191" s="5">
        <f t="shared" ref="V191:V195" si="109">IF(T$12=0,0,T191/T$12)</f>
        <v>5.810707589072657E-3</v>
      </c>
      <c r="W191" s="1"/>
      <c r="X191" s="1">
        <f t="shared" ref="X191:X195" si="110">+P191-T191</f>
        <v>-7462.0199999999968</v>
      </c>
      <c r="Y191" s="1"/>
      <c r="Z191" s="5">
        <f t="shared" ref="Z191:Z195" si="111">IF(T191=0,0,X191/T191)</f>
        <v>-0.15674536823089519</v>
      </c>
    </row>
    <row r="192" spans="1:26" s="24" customFormat="1" hidden="1" outlineLevel="2" x14ac:dyDescent="0.25">
      <c r="A192" s="26"/>
      <c r="B192" s="11" t="str">
        <f>CONCATENATE("          ", "6282", " - ", "JANITORIAL/EXTERMINATOR EXPENS")</f>
        <v xml:space="preserve">          6282 - JANITORIAL/EXTERMINATOR EXPENS</v>
      </c>
      <c r="C192" s="11"/>
      <c r="D192" s="7"/>
      <c r="E192" s="2"/>
      <c r="F192" s="6">
        <f t="shared" si="104"/>
        <v>0</v>
      </c>
      <c r="G192" s="2"/>
      <c r="H192" s="7">
        <v>4000</v>
      </c>
      <c r="I192" s="2"/>
      <c r="J192" s="6">
        <f t="shared" si="105"/>
        <v>8.4413117798505886E-3</v>
      </c>
      <c r="K192" s="2"/>
      <c r="L192" s="7">
        <f t="shared" si="106"/>
        <v>-4000</v>
      </c>
      <c r="M192" s="2"/>
      <c r="N192" s="6">
        <f t="shared" si="107"/>
        <v>-1</v>
      </c>
      <c r="O192" s="11"/>
      <c r="P192" s="7">
        <v>7406.12</v>
      </c>
      <c r="Q192" s="2"/>
      <c r="R192" s="6">
        <f t="shared" si="108"/>
        <v>1.574885790414269E-3</v>
      </c>
      <c r="S192" s="2"/>
      <c r="T192" s="7">
        <v>40000</v>
      </c>
      <c r="U192" s="2"/>
      <c r="V192" s="6">
        <f t="shared" si="109"/>
        <v>4.8823321338257002E-3</v>
      </c>
      <c r="W192" s="2"/>
      <c r="X192" s="7">
        <f t="shared" si="110"/>
        <v>-32593.88</v>
      </c>
      <c r="Y192" s="2"/>
      <c r="Z192" s="6">
        <f t="shared" si="111"/>
        <v>-0.81484699999999999</v>
      </c>
    </row>
    <row r="193" spans="1:26" s="24" customFormat="1" hidden="1" outlineLevel="2" x14ac:dyDescent="0.25">
      <c r="A193" s="26"/>
      <c r="B193" s="11" t="str">
        <f>CONCATENATE("          ", "6283", " - ", "PLANT SERVICE")</f>
        <v xml:space="preserve">          6283 - PLANT SERVICE</v>
      </c>
      <c r="C193" s="11"/>
      <c r="D193" s="7"/>
      <c r="E193" s="2"/>
      <c r="F193" s="6">
        <f t="shared" si="104"/>
        <v>0</v>
      </c>
      <c r="G193" s="2"/>
      <c r="H193" s="7">
        <v>0</v>
      </c>
      <c r="I193" s="2"/>
      <c r="J193" s="6">
        <f t="shared" si="105"/>
        <v>0</v>
      </c>
      <c r="K193" s="2"/>
      <c r="L193" s="7">
        <f t="shared" si="106"/>
        <v>0</v>
      </c>
      <c r="M193" s="2"/>
      <c r="N193" s="6">
        <f t="shared" si="107"/>
        <v>0</v>
      </c>
      <c r="O193" s="11"/>
      <c r="P193" s="7">
        <v>171.31</v>
      </c>
      <c r="Q193" s="2"/>
      <c r="R193" s="6">
        <f t="shared" si="108"/>
        <v>3.6428478711642325E-5</v>
      </c>
      <c r="S193" s="2"/>
      <c r="T193" s="7">
        <v>0</v>
      </c>
      <c r="U193" s="2"/>
      <c r="V193" s="6">
        <f t="shared" si="109"/>
        <v>0</v>
      </c>
      <c r="W193" s="2"/>
      <c r="X193" s="7">
        <f t="shared" si="110"/>
        <v>171.31</v>
      </c>
      <c r="Y193" s="2"/>
      <c r="Z193" s="6">
        <f t="shared" si="111"/>
        <v>0</v>
      </c>
    </row>
    <row r="194" spans="1:26" s="24" customFormat="1" hidden="1" outlineLevel="2" x14ac:dyDescent="0.25">
      <c r="A194" s="26"/>
      <c r="B194" s="11" t="str">
        <f>CONCATENATE("          ", "6284", " - ", "TRASH REMOVAL EXPENSE")</f>
        <v xml:space="preserve">          6284 - TRASH REMOVAL EXPENSE</v>
      </c>
      <c r="C194" s="11"/>
      <c r="D194" s="7">
        <v>142.57</v>
      </c>
      <c r="E194" s="2"/>
      <c r="F194" s="6">
        <f t="shared" si="104"/>
        <v>3.2515618478331539E-4</v>
      </c>
      <c r="G194" s="2"/>
      <c r="H194" s="7">
        <v>55</v>
      </c>
      <c r="I194" s="2"/>
      <c r="J194" s="6">
        <f t="shared" si="105"/>
        <v>1.1606803697294559E-4</v>
      </c>
      <c r="K194" s="2"/>
      <c r="L194" s="7">
        <f t="shared" si="106"/>
        <v>87.57</v>
      </c>
      <c r="M194" s="2"/>
      <c r="N194" s="6">
        <f t="shared" si="107"/>
        <v>1.5921818181818181</v>
      </c>
      <c r="O194" s="11"/>
      <c r="P194" s="7">
        <v>1440.72</v>
      </c>
      <c r="Q194" s="2"/>
      <c r="R194" s="6">
        <f t="shared" si="108"/>
        <v>3.0636412263987698E-4</v>
      </c>
      <c r="S194" s="2"/>
      <c r="T194" s="7">
        <v>715</v>
      </c>
      <c r="U194" s="2"/>
      <c r="V194" s="6">
        <f t="shared" si="109"/>
        <v>8.7271686892134397E-5</v>
      </c>
      <c r="W194" s="2"/>
      <c r="X194" s="7">
        <f t="shared" si="110"/>
        <v>725.72</v>
      </c>
      <c r="Y194" s="2"/>
      <c r="Z194" s="6">
        <f t="shared" si="111"/>
        <v>1.0149930069930071</v>
      </c>
    </row>
    <row r="195" spans="1:26" s="24" customFormat="1" hidden="1" outlineLevel="2" x14ac:dyDescent="0.25">
      <c r="A195" s="26"/>
      <c r="B195" s="11" t="str">
        <f>CONCATENATE("          ", "6285", " - ", "JANITORIAL SERVICES")</f>
        <v xml:space="preserve">          6285 - JANITORIAL SERVICES</v>
      </c>
      <c r="C195" s="11"/>
      <c r="D195" s="7">
        <v>3863.75</v>
      </c>
      <c r="E195" s="2"/>
      <c r="F195" s="6">
        <f t="shared" si="104"/>
        <v>8.8119675174057298E-3</v>
      </c>
      <c r="G195" s="2"/>
      <c r="H195" s="7">
        <v>774</v>
      </c>
      <c r="I195" s="2"/>
      <c r="J195" s="6">
        <f t="shared" si="105"/>
        <v>1.633393829401089E-3</v>
      </c>
      <c r="K195" s="2"/>
      <c r="L195" s="7">
        <f t="shared" si="106"/>
        <v>3089.75</v>
      </c>
      <c r="M195" s="2"/>
      <c r="N195" s="6">
        <f t="shared" si="107"/>
        <v>3.9919250645994833</v>
      </c>
      <c r="O195" s="11"/>
      <c r="P195" s="7">
        <v>31125.83</v>
      </c>
      <c r="Q195" s="2"/>
      <c r="R195" s="6">
        <f t="shared" si="108"/>
        <v>6.6188000439974205E-3</v>
      </c>
      <c r="S195" s="2"/>
      <c r="T195" s="7">
        <v>6891</v>
      </c>
      <c r="U195" s="2"/>
      <c r="V195" s="6">
        <f t="shared" si="109"/>
        <v>8.4110376835482253E-4</v>
      </c>
      <c r="W195" s="2"/>
      <c r="X195" s="7">
        <f t="shared" si="110"/>
        <v>24234.83</v>
      </c>
      <c r="Y195" s="2"/>
      <c r="Z195" s="6">
        <f t="shared" si="111"/>
        <v>3.516881439558845</v>
      </c>
    </row>
    <row r="196" spans="1:26" s="25" customFormat="1" outlineLevel="1" collapsed="1" x14ac:dyDescent="0.25">
      <c r="A196" s="27"/>
      <c r="B196" s="13" t="str">
        <f>CONCATENATE("     ","Subscriptions &amp; Dues                              ")</f>
        <v xml:space="preserve">     Subscriptions &amp; Dues                              </v>
      </c>
      <c r="C196" s="13"/>
      <c r="D196" s="1">
        <f>SUM(OSRRefD22_19x_0)</f>
        <v>2343.58</v>
      </c>
      <c r="E196" s="1"/>
      <c r="F196" s="5">
        <f t="shared" ref="F196:F198" si="112">IF(D$12=0,0,D196/D$12)</f>
        <v>5.3449500703828456E-3</v>
      </c>
      <c r="G196" s="1"/>
      <c r="H196" s="1">
        <f>SUM(OSRRefH22_19x_0)</f>
        <v>2900</v>
      </c>
      <c r="I196" s="1"/>
      <c r="J196" s="5">
        <f t="shared" ref="J196:J198" si="113">IF(H$12=0,0,H196/H$12)</f>
        <v>6.1199510403916772E-3</v>
      </c>
      <c r="K196" s="1"/>
      <c r="L196" s="1">
        <f t="shared" ref="L196:L198" si="114">+D196-H196</f>
        <v>-556.42000000000007</v>
      </c>
      <c r="M196" s="1"/>
      <c r="N196" s="5">
        <f t="shared" ref="N196:N198" si="115">IF(H196=0,0,L196/H196)</f>
        <v>-0.19186896551724139</v>
      </c>
      <c r="O196" s="13"/>
      <c r="P196" s="1">
        <f>SUM(OSRRefP22_19x_0)</f>
        <v>6677.91</v>
      </c>
      <c r="Q196" s="1"/>
      <c r="R196" s="5">
        <f t="shared" ref="R196:R198" si="116">IF(P$12=0,0,P196/P$12)</f>
        <v>1.4200344537578856E-3</v>
      </c>
      <c r="S196" s="1"/>
      <c r="T196" s="1">
        <f>SUM(OSRRefT22_19x_0)</f>
        <v>14195</v>
      </c>
      <c r="U196" s="1"/>
      <c r="V196" s="5">
        <f t="shared" ref="V196:V198" si="117">IF(T$12=0,0,T196/T$12)</f>
        <v>1.7326176159913954E-3</v>
      </c>
      <c r="W196" s="1"/>
      <c r="X196" s="1">
        <f t="shared" ref="X196:X198" si="118">+P196-T196</f>
        <v>-7517.09</v>
      </c>
      <c r="Y196" s="1"/>
      <c r="Z196" s="5">
        <f t="shared" ref="Z196:Z198" si="119">IF(T196=0,0,X196/T196)</f>
        <v>-0.52955899964776332</v>
      </c>
    </row>
    <row r="197" spans="1:26" s="24" customFormat="1" hidden="1" outlineLevel="2" x14ac:dyDescent="0.25">
      <c r="A197" s="26"/>
      <c r="B197" s="11" t="str">
        <f>CONCATENATE("          ", "6258", " - ", "MEMBERSHIP DUES")</f>
        <v xml:space="preserve">          6258 - MEMBERSHIP DUES</v>
      </c>
      <c r="C197" s="11"/>
      <c r="D197" s="7">
        <v>328.71</v>
      </c>
      <c r="E197" s="2"/>
      <c r="F197" s="6">
        <f t="shared" si="112"/>
        <v>7.4968148628830463E-4</v>
      </c>
      <c r="G197" s="2"/>
      <c r="H197" s="7">
        <v>1100</v>
      </c>
      <c r="I197" s="2"/>
      <c r="J197" s="6">
        <f t="shared" si="113"/>
        <v>2.3213607394589118E-3</v>
      </c>
      <c r="K197" s="2"/>
      <c r="L197" s="7">
        <f t="shared" si="114"/>
        <v>-771.29</v>
      </c>
      <c r="M197" s="2"/>
      <c r="N197" s="6">
        <f t="shared" si="115"/>
        <v>-0.70117272727272728</v>
      </c>
      <c r="O197" s="11"/>
      <c r="P197" s="7">
        <v>2435.23</v>
      </c>
      <c r="Q197" s="2"/>
      <c r="R197" s="6">
        <f t="shared" si="116"/>
        <v>5.1784323281158569E-4</v>
      </c>
      <c r="S197" s="2"/>
      <c r="T197" s="7">
        <v>12395</v>
      </c>
      <c r="U197" s="2"/>
      <c r="V197" s="6">
        <f t="shared" si="117"/>
        <v>1.5129126699692389E-3</v>
      </c>
      <c r="W197" s="2"/>
      <c r="X197" s="7">
        <f t="shared" si="118"/>
        <v>-9959.77</v>
      </c>
      <c r="Y197" s="2"/>
      <c r="Z197" s="6">
        <f t="shared" si="119"/>
        <v>-0.80353126260588947</v>
      </c>
    </row>
    <row r="198" spans="1:26" s="24" customFormat="1" hidden="1" outlineLevel="2" x14ac:dyDescent="0.25">
      <c r="A198" s="26"/>
      <c r="B198" s="11" t="str">
        <f>CONCATENATE("          ", "6275", " - ", "SUBSCRIPTIONS")</f>
        <v xml:space="preserve">          6275 - SUBSCRIPTIONS</v>
      </c>
      <c r="C198" s="11"/>
      <c r="D198" s="7">
        <v>2014.87</v>
      </c>
      <c r="E198" s="2"/>
      <c r="F198" s="6">
        <f t="shared" si="112"/>
        <v>4.5952685840945405E-3</v>
      </c>
      <c r="G198" s="2"/>
      <c r="H198" s="7">
        <v>1800</v>
      </c>
      <c r="I198" s="2"/>
      <c r="J198" s="6">
        <f t="shared" si="113"/>
        <v>3.7985903009327649E-3</v>
      </c>
      <c r="K198" s="2"/>
      <c r="L198" s="7">
        <f t="shared" si="114"/>
        <v>214.86999999999989</v>
      </c>
      <c r="M198" s="2"/>
      <c r="N198" s="6">
        <f t="shared" si="115"/>
        <v>0.11937222222222216</v>
      </c>
      <c r="O198" s="11"/>
      <c r="P198" s="7">
        <v>4242.68</v>
      </c>
      <c r="Q198" s="2"/>
      <c r="R198" s="6">
        <f t="shared" si="116"/>
        <v>9.021912209463001E-4</v>
      </c>
      <c r="S198" s="2"/>
      <c r="T198" s="7">
        <v>1800</v>
      </c>
      <c r="U198" s="2"/>
      <c r="V198" s="6">
        <f t="shared" si="117"/>
        <v>2.1970494602215651E-4</v>
      </c>
      <c r="W198" s="2"/>
      <c r="X198" s="7">
        <f t="shared" si="118"/>
        <v>2442.6800000000003</v>
      </c>
      <c r="Y198" s="2"/>
      <c r="Z198" s="6">
        <f t="shared" si="119"/>
        <v>1.3570444444444445</v>
      </c>
    </row>
    <row r="199" spans="1:26" s="25" customFormat="1" outlineLevel="1" collapsed="1" x14ac:dyDescent="0.25">
      <c r="A199" s="27"/>
      <c r="B199" s="13" t="str">
        <f>CONCATENATE("     ","Supplies                                          ")</f>
        <v xml:space="preserve">     Supplies                                          </v>
      </c>
      <c r="C199" s="13"/>
      <c r="D199" s="1">
        <f>SUM(OSRRefD22_20x_0)</f>
        <v>8692.42</v>
      </c>
      <c r="E199" s="1"/>
      <c r="F199" s="5">
        <f t="shared" ref="F199:F208" si="120">IF(D$12=0,0,D199/D$12)</f>
        <v>1.9824606324852258E-2</v>
      </c>
      <c r="G199" s="1"/>
      <c r="H199" s="1">
        <f>SUM(OSRRefH22_20x_0)</f>
        <v>10545</v>
      </c>
      <c r="I199" s="1"/>
      <c r="J199" s="5">
        <f t="shared" ref="J199:J208" si="121">IF(H$12=0,0,H199/H$12)</f>
        <v>2.2253408179631114E-2</v>
      </c>
      <c r="K199" s="1"/>
      <c r="L199" s="1">
        <f t="shared" ref="L199:L208" si="122">+D199-H199</f>
        <v>-1852.58</v>
      </c>
      <c r="M199" s="1"/>
      <c r="N199" s="5">
        <f t="shared" ref="N199:N208" si="123">IF(H199=0,0,L199/H199)</f>
        <v>-0.175683262209578</v>
      </c>
      <c r="O199" s="13"/>
      <c r="P199" s="1">
        <f>SUM(OSRRefP22_20x_0)</f>
        <v>111696.69</v>
      </c>
      <c r="Q199" s="1"/>
      <c r="R199" s="5">
        <f t="shared" ref="R199:R208" si="124">IF(P$12=0,0,P199/P$12)</f>
        <v>2.3751914621597758E-2</v>
      </c>
      <c r="S199" s="1"/>
      <c r="T199" s="1">
        <f>SUM(OSRRefT22_20x_0)</f>
        <v>144530</v>
      </c>
      <c r="U199" s="1"/>
      <c r="V199" s="5">
        <f t="shared" ref="V199:V208" si="125">IF(T$12=0,0,T199/T$12)</f>
        <v>1.764108658254571E-2</v>
      </c>
      <c r="W199" s="1"/>
      <c r="X199" s="1">
        <f t="shared" ref="X199:X208" si="126">+P199-T199</f>
        <v>-32833.31</v>
      </c>
      <c r="Y199" s="1"/>
      <c r="Z199" s="5">
        <f t="shared" ref="Z199:Z208" si="127">IF(T199=0,0,X199/T199)</f>
        <v>-0.22717297446896836</v>
      </c>
    </row>
    <row r="200" spans="1:26" s="24" customFormat="1" hidden="1" outlineLevel="2" x14ac:dyDescent="0.25">
      <c r="A200" s="26"/>
      <c r="B200" s="11" t="str">
        <f>CONCATENATE("          ", "6234", " - ", "EXPENDABLE SUPPLIES &amp; EQUIPMEN")</f>
        <v xml:space="preserve">          6234 - EXPENDABLE SUPPLIES &amp; EQUIPMEN</v>
      </c>
      <c r="C200" s="11"/>
      <c r="D200" s="7">
        <v>53</v>
      </c>
      <c r="E200" s="2"/>
      <c r="F200" s="6">
        <f t="shared" si="120"/>
        <v>1.2087590512390907E-4</v>
      </c>
      <c r="G200" s="2"/>
      <c r="H200" s="7">
        <v>150</v>
      </c>
      <c r="I200" s="2"/>
      <c r="J200" s="6">
        <f t="shared" si="121"/>
        <v>3.1654919174439706E-4</v>
      </c>
      <c r="K200" s="2"/>
      <c r="L200" s="7">
        <f t="shared" si="122"/>
        <v>-97</v>
      </c>
      <c r="M200" s="2"/>
      <c r="N200" s="6">
        <f t="shared" si="123"/>
        <v>-0.64666666666666661</v>
      </c>
      <c r="O200" s="11"/>
      <c r="P200" s="7">
        <v>0.16</v>
      </c>
      <c r="Q200" s="2"/>
      <c r="R200" s="6">
        <f t="shared" si="124"/>
        <v>3.4023446347923484E-8</v>
      </c>
      <c r="S200" s="2"/>
      <c r="T200" s="7">
        <v>1500</v>
      </c>
      <c r="U200" s="2"/>
      <c r="V200" s="6">
        <f t="shared" si="125"/>
        <v>1.8308745501846376E-4</v>
      </c>
      <c r="W200" s="2"/>
      <c r="X200" s="7">
        <f t="shared" si="126"/>
        <v>-1499.84</v>
      </c>
      <c r="Y200" s="2"/>
      <c r="Z200" s="6">
        <f t="shared" si="127"/>
        <v>-0.9998933333333333</v>
      </c>
    </row>
    <row r="201" spans="1:26" s="24" customFormat="1" hidden="1" outlineLevel="2" x14ac:dyDescent="0.25">
      <c r="A201" s="26"/>
      <c r="B201" s="11" t="str">
        <f>CONCATENATE("          ", "6235", " - ", "COVID-19 EXPENSES")</f>
        <v xml:space="preserve">          6235 - COVID-19 EXPENSES</v>
      </c>
      <c r="C201" s="11"/>
      <c r="D201" s="7">
        <v>3407.79</v>
      </c>
      <c r="E201" s="2"/>
      <c r="F201" s="6">
        <f t="shared" si="120"/>
        <v>7.7720698249472845E-3</v>
      </c>
      <c r="G201" s="2"/>
      <c r="H201" s="7">
        <v>500</v>
      </c>
      <c r="I201" s="2"/>
      <c r="J201" s="6">
        <f t="shared" si="121"/>
        <v>1.0551639724813236E-3</v>
      </c>
      <c r="K201" s="2"/>
      <c r="L201" s="7">
        <f t="shared" si="122"/>
        <v>2907.79</v>
      </c>
      <c r="M201" s="2"/>
      <c r="N201" s="6">
        <f t="shared" si="123"/>
        <v>5.8155799999999997</v>
      </c>
      <c r="O201" s="11"/>
      <c r="P201" s="7">
        <v>41069.79</v>
      </c>
      <c r="Q201" s="2"/>
      <c r="R201" s="6">
        <f t="shared" si="124"/>
        <v>8.7333487286592772E-3</v>
      </c>
      <c r="S201" s="2"/>
      <c r="T201" s="7">
        <v>64600</v>
      </c>
      <c r="U201" s="2"/>
      <c r="V201" s="6">
        <f t="shared" si="125"/>
        <v>7.8849663961285052E-3</v>
      </c>
      <c r="W201" s="2"/>
      <c r="X201" s="7">
        <f t="shared" si="126"/>
        <v>-23530.21</v>
      </c>
      <c r="Y201" s="2"/>
      <c r="Z201" s="6">
        <f t="shared" si="127"/>
        <v>-0.36424473684210523</v>
      </c>
    </row>
    <row r="202" spans="1:26" s="24" customFormat="1" hidden="1" outlineLevel="2" x14ac:dyDescent="0.25">
      <c r="A202" s="26"/>
      <c r="B202" s="11" t="str">
        <f>CONCATENATE("          ", "6237", " - ", "JANITORIAL SUPPLIES")</f>
        <v xml:space="preserve">          6237 - JANITORIAL SUPPLIES</v>
      </c>
      <c r="C202" s="11"/>
      <c r="D202" s="7">
        <v>588.30999999999995</v>
      </c>
      <c r="E202" s="2"/>
      <c r="F202" s="6">
        <f t="shared" si="120"/>
        <v>1.3417453536499423E-3</v>
      </c>
      <c r="G202" s="2"/>
      <c r="H202" s="7">
        <v>270</v>
      </c>
      <c r="I202" s="2"/>
      <c r="J202" s="6">
        <f t="shared" si="121"/>
        <v>5.6978854513991476E-4</v>
      </c>
      <c r="K202" s="2"/>
      <c r="L202" s="7">
        <f t="shared" si="122"/>
        <v>318.30999999999995</v>
      </c>
      <c r="M202" s="2"/>
      <c r="N202" s="6">
        <f t="shared" si="123"/>
        <v>1.1789259259259257</v>
      </c>
      <c r="O202" s="11"/>
      <c r="P202" s="7">
        <v>3489.55</v>
      </c>
      <c r="Q202" s="2"/>
      <c r="R202" s="6">
        <f t="shared" si="124"/>
        <v>7.420407325212275E-4</v>
      </c>
      <c r="S202" s="2"/>
      <c r="T202" s="7">
        <v>2680</v>
      </c>
      <c r="U202" s="2"/>
      <c r="V202" s="6">
        <f t="shared" si="125"/>
        <v>3.271162529663219E-4</v>
      </c>
      <c r="W202" s="2"/>
      <c r="X202" s="7">
        <f t="shared" si="126"/>
        <v>809.55000000000018</v>
      </c>
      <c r="Y202" s="2"/>
      <c r="Z202" s="6">
        <f t="shared" si="127"/>
        <v>0.30207089552238814</v>
      </c>
    </row>
    <row r="203" spans="1:26" s="24" customFormat="1" hidden="1" outlineLevel="2" x14ac:dyDescent="0.25">
      <c r="A203" s="26"/>
      <c r="B203" s="11" t="str">
        <f>CONCATENATE("          ", "6241", " - ", "OFFICE EXPENSE")</f>
        <v xml:space="preserve">          6241 - OFFICE EXPENSE</v>
      </c>
      <c r="C203" s="11"/>
      <c r="D203" s="7">
        <v>514.54999999999995</v>
      </c>
      <c r="E203" s="2"/>
      <c r="F203" s="6">
        <f t="shared" si="120"/>
        <v>1.1735225845567435E-3</v>
      </c>
      <c r="G203" s="2"/>
      <c r="H203" s="7">
        <v>425</v>
      </c>
      <c r="I203" s="2"/>
      <c r="J203" s="6">
        <f t="shared" si="121"/>
        <v>8.9688937660912507E-4</v>
      </c>
      <c r="K203" s="2"/>
      <c r="L203" s="7">
        <f t="shared" si="122"/>
        <v>89.549999999999955</v>
      </c>
      <c r="M203" s="2"/>
      <c r="N203" s="6">
        <f t="shared" si="123"/>
        <v>0.21070588235294108</v>
      </c>
      <c r="O203" s="11"/>
      <c r="P203" s="7">
        <v>10867.71</v>
      </c>
      <c r="Q203" s="2"/>
      <c r="R203" s="6">
        <f t="shared" si="124"/>
        <v>2.3109809256861968E-3</v>
      </c>
      <c r="S203" s="2"/>
      <c r="T203" s="7">
        <v>5450</v>
      </c>
      <c r="U203" s="2"/>
      <c r="V203" s="6">
        <f t="shared" si="125"/>
        <v>6.652177532337517E-4</v>
      </c>
      <c r="W203" s="2"/>
      <c r="X203" s="7">
        <f t="shared" si="126"/>
        <v>5417.7099999999991</v>
      </c>
      <c r="Y203" s="2"/>
      <c r="Z203" s="6">
        <f t="shared" si="127"/>
        <v>0.99407522935779802</v>
      </c>
    </row>
    <row r="204" spans="1:26" s="24" customFormat="1" hidden="1" outlineLevel="2" x14ac:dyDescent="0.25">
      <c r="A204" s="26"/>
      <c r="B204" s="11" t="str">
        <f>CONCATENATE("          ", "6243", " - ", "PAPER SUPPLIES")</f>
        <v xml:space="preserve">          6243 - PAPER SUPPLIES</v>
      </c>
      <c r="C204" s="11"/>
      <c r="D204" s="7">
        <v>199.93</v>
      </c>
      <c r="E204" s="2"/>
      <c r="F204" s="6">
        <f t="shared" si="120"/>
        <v>4.5597584361175739E-4</v>
      </c>
      <c r="G204" s="2"/>
      <c r="H204" s="7">
        <v>4650</v>
      </c>
      <c r="I204" s="2"/>
      <c r="J204" s="6">
        <f t="shared" si="121"/>
        <v>9.8130249440763102E-3</v>
      </c>
      <c r="K204" s="2"/>
      <c r="L204" s="7">
        <f t="shared" si="122"/>
        <v>-4450.07</v>
      </c>
      <c r="M204" s="2"/>
      <c r="N204" s="6">
        <f t="shared" si="123"/>
        <v>-0.95700430107526879</v>
      </c>
      <c r="O204" s="11"/>
      <c r="P204" s="7">
        <v>6682.58</v>
      </c>
      <c r="Q204" s="2"/>
      <c r="R204" s="6">
        <f t="shared" si="124"/>
        <v>1.4210275130981656E-3</v>
      </c>
      <c r="S204" s="2"/>
      <c r="T204" s="7">
        <v>21900</v>
      </c>
      <c r="U204" s="2"/>
      <c r="V204" s="6">
        <f t="shared" si="125"/>
        <v>2.6730768432695708E-3</v>
      </c>
      <c r="W204" s="2"/>
      <c r="X204" s="7">
        <f t="shared" si="126"/>
        <v>-15217.42</v>
      </c>
      <c r="Y204" s="2"/>
      <c r="Z204" s="6">
        <f t="shared" si="127"/>
        <v>-0.69485936073059362</v>
      </c>
    </row>
    <row r="205" spans="1:26" s="24" customFormat="1" hidden="1" outlineLevel="2" x14ac:dyDescent="0.25">
      <c r="A205" s="26"/>
      <c r="B205" s="11" t="str">
        <f>CONCATENATE("          ", "6244", " - ", "SAFETY SUPPLY EXPENSE")</f>
        <v xml:space="preserve">          6244 - SAFETY SUPPLY EXPENSE</v>
      </c>
      <c r="C205" s="11"/>
      <c r="D205" s="7"/>
      <c r="E205" s="2"/>
      <c r="F205" s="6">
        <f t="shared" si="120"/>
        <v>0</v>
      </c>
      <c r="G205" s="2"/>
      <c r="H205" s="7">
        <v>25</v>
      </c>
      <c r="I205" s="2"/>
      <c r="J205" s="6">
        <f t="shared" si="121"/>
        <v>5.2758198624066181E-5</v>
      </c>
      <c r="K205" s="2"/>
      <c r="L205" s="7">
        <f t="shared" si="122"/>
        <v>-25</v>
      </c>
      <c r="M205" s="2"/>
      <c r="N205" s="6">
        <f t="shared" si="123"/>
        <v>-1</v>
      </c>
      <c r="O205" s="11"/>
      <c r="P205" s="7"/>
      <c r="Q205" s="2"/>
      <c r="R205" s="6">
        <f t="shared" si="124"/>
        <v>0</v>
      </c>
      <c r="S205" s="2"/>
      <c r="T205" s="7">
        <v>100</v>
      </c>
      <c r="U205" s="2"/>
      <c r="V205" s="6">
        <f t="shared" si="125"/>
        <v>1.2205830334564251E-5</v>
      </c>
      <c r="W205" s="2"/>
      <c r="X205" s="7">
        <f t="shared" si="126"/>
        <v>-100</v>
      </c>
      <c r="Y205" s="2"/>
      <c r="Z205" s="6">
        <f t="shared" si="127"/>
        <v>-1</v>
      </c>
    </row>
    <row r="206" spans="1:26" s="24" customFormat="1" hidden="1" outlineLevel="2" x14ac:dyDescent="0.25">
      <c r="A206" s="26"/>
      <c r="B206" s="11" t="str">
        <f>CONCATENATE("          ", "6245", " - ", "PRINTING")</f>
        <v xml:space="preserve">          6245 - PRINTING</v>
      </c>
      <c r="C206" s="11"/>
      <c r="D206" s="7">
        <v>1766.38</v>
      </c>
      <c r="E206" s="2"/>
      <c r="F206" s="6">
        <f t="shared" si="120"/>
        <v>4.028543043259821E-3</v>
      </c>
      <c r="G206" s="2"/>
      <c r="H206" s="7">
        <v>350</v>
      </c>
      <c r="I206" s="2"/>
      <c r="J206" s="6">
        <f t="shared" si="121"/>
        <v>7.3861478073692657E-4</v>
      </c>
      <c r="K206" s="2"/>
      <c r="L206" s="7">
        <f t="shared" si="122"/>
        <v>1416.38</v>
      </c>
      <c r="M206" s="2"/>
      <c r="N206" s="6">
        <f t="shared" si="123"/>
        <v>4.0468000000000002</v>
      </c>
      <c r="O206" s="11"/>
      <c r="P206" s="7">
        <v>3120.59</v>
      </c>
      <c r="Q206" s="2"/>
      <c r="R206" s="6">
        <f t="shared" si="124"/>
        <v>6.6358266524291589E-4</v>
      </c>
      <c r="S206" s="2"/>
      <c r="T206" s="7">
        <v>4600</v>
      </c>
      <c r="U206" s="2"/>
      <c r="V206" s="6">
        <f t="shared" si="125"/>
        <v>5.6146819538995549E-4</v>
      </c>
      <c r="W206" s="2"/>
      <c r="X206" s="7">
        <f t="shared" si="126"/>
        <v>-1479.4099999999999</v>
      </c>
      <c r="Y206" s="2"/>
      <c r="Z206" s="6">
        <f t="shared" si="127"/>
        <v>-0.32161086956521734</v>
      </c>
    </row>
    <row r="207" spans="1:26" s="24" customFormat="1" hidden="1" outlineLevel="2" x14ac:dyDescent="0.25">
      <c r="A207" s="26"/>
      <c r="B207" s="11" t="str">
        <f>CONCATENATE("          ", "6247", " - ", "STORE SUPPLIES")</f>
        <v xml:space="preserve">          6247 - STORE SUPPLIES</v>
      </c>
      <c r="C207" s="11"/>
      <c r="D207" s="7">
        <v>2162.46</v>
      </c>
      <c r="E207" s="2"/>
      <c r="F207" s="6">
        <f t="shared" si="120"/>
        <v>4.9318737697028004E-3</v>
      </c>
      <c r="G207" s="2"/>
      <c r="H207" s="7">
        <v>2675</v>
      </c>
      <c r="I207" s="2"/>
      <c r="J207" s="6">
        <f t="shared" si="121"/>
        <v>5.645127252775081E-3</v>
      </c>
      <c r="K207" s="2"/>
      <c r="L207" s="7">
        <f t="shared" si="122"/>
        <v>-512.54</v>
      </c>
      <c r="M207" s="2"/>
      <c r="N207" s="6">
        <f t="shared" si="123"/>
        <v>-0.19160373831775698</v>
      </c>
      <c r="O207" s="11"/>
      <c r="P207" s="7">
        <v>46466.31</v>
      </c>
      <c r="Q207" s="2"/>
      <c r="R207" s="6">
        <f t="shared" si="124"/>
        <v>9.8809000329436267E-3</v>
      </c>
      <c r="S207" s="2"/>
      <c r="T207" s="7">
        <v>28500</v>
      </c>
      <c r="U207" s="2"/>
      <c r="V207" s="6">
        <f t="shared" si="125"/>
        <v>3.4786616453508115E-3</v>
      </c>
      <c r="W207" s="2"/>
      <c r="X207" s="7">
        <f t="shared" si="126"/>
        <v>17966.309999999998</v>
      </c>
      <c r="Y207" s="2"/>
      <c r="Z207" s="6">
        <f t="shared" si="127"/>
        <v>0.63039684210526303</v>
      </c>
    </row>
    <row r="208" spans="1:26" s="24" customFormat="1" hidden="1" outlineLevel="2" x14ac:dyDescent="0.25">
      <c r="A208" s="26"/>
      <c r="B208" s="11" t="str">
        <f>CONCATENATE("          ", "6248", " - ", "UNIFORMS")</f>
        <v xml:space="preserve">          6248 - UNIFORMS</v>
      </c>
      <c r="C208" s="11"/>
      <c r="D208" s="7"/>
      <c r="E208" s="2"/>
      <c r="F208" s="6">
        <f t="shared" si="120"/>
        <v>0</v>
      </c>
      <c r="G208" s="2"/>
      <c r="H208" s="7">
        <v>1500</v>
      </c>
      <c r="I208" s="2"/>
      <c r="J208" s="6">
        <f t="shared" si="121"/>
        <v>3.1654919174439709E-3</v>
      </c>
      <c r="K208" s="2"/>
      <c r="L208" s="7">
        <f t="shared" si="122"/>
        <v>-1500</v>
      </c>
      <c r="M208" s="2"/>
      <c r="N208" s="6">
        <f t="shared" si="123"/>
        <v>-1</v>
      </c>
      <c r="O208" s="11"/>
      <c r="P208" s="7"/>
      <c r="Q208" s="2"/>
      <c r="R208" s="6">
        <f t="shared" si="124"/>
        <v>0</v>
      </c>
      <c r="S208" s="2"/>
      <c r="T208" s="7">
        <v>15200</v>
      </c>
      <c r="U208" s="2"/>
      <c r="V208" s="6">
        <f t="shared" si="125"/>
        <v>1.8552862108537661E-3</v>
      </c>
      <c r="W208" s="2"/>
      <c r="X208" s="7">
        <f t="shared" si="126"/>
        <v>-15200</v>
      </c>
      <c r="Y208" s="2"/>
      <c r="Z208" s="6">
        <f t="shared" si="127"/>
        <v>-1</v>
      </c>
    </row>
    <row r="209" spans="1:26" s="25" customFormat="1" outlineLevel="1" collapsed="1" x14ac:dyDescent="0.25">
      <c r="A209" s="27"/>
      <c r="B209" s="13" t="str">
        <f>CONCATENATE("     ","Telephone/Data Lines                              ")</f>
        <v xml:space="preserve">     Telephone/Data Lines                              </v>
      </c>
      <c r="C209" s="13"/>
      <c r="D209" s="1">
        <f>SUM(OSRRefD22_21x_0)</f>
        <v>1962.76</v>
      </c>
      <c r="E209" s="1"/>
      <c r="F209" s="5">
        <f t="shared" ref="F209:F211" si="128">IF(D$12=0,0,D209/D$12)</f>
        <v>4.4764224819057313E-3</v>
      </c>
      <c r="G209" s="1"/>
      <c r="H209" s="1">
        <f>SUM(OSRRefH22_21x_0)</f>
        <v>2295</v>
      </c>
      <c r="I209" s="1"/>
      <c r="J209" s="5">
        <f t="shared" ref="J209:J211" si="129">IF(H$12=0,0,H209/H$12)</f>
        <v>4.8432026336892751E-3</v>
      </c>
      <c r="K209" s="1"/>
      <c r="L209" s="1">
        <f t="shared" ref="L209:L211" si="130">+D209-H209</f>
        <v>-332.24</v>
      </c>
      <c r="M209" s="1"/>
      <c r="N209" s="5">
        <f t="shared" ref="N209:N211" si="131">IF(H209=0,0,L209/H209)</f>
        <v>-0.14476688453159042</v>
      </c>
      <c r="O209" s="13"/>
      <c r="P209" s="1">
        <f>SUM(OSRRefP22_21x_0)</f>
        <v>21831.43</v>
      </c>
      <c r="Q209" s="1"/>
      <c r="R209" s="5">
        <f t="shared" ref="R209:R211" si="132">IF(P$12=0,0,P209/P$12)</f>
        <v>4.6423780456465447E-3</v>
      </c>
      <c r="S209" s="1"/>
      <c r="T209" s="1">
        <f>SUM(OSRRefT22_21x_0)</f>
        <v>25250</v>
      </c>
      <c r="U209" s="1"/>
      <c r="V209" s="5">
        <f t="shared" ref="V209:V211" si="133">IF(T$12=0,0,T209/T$12)</f>
        <v>3.0819721594774734E-3</v>
      </c>
      <c r="W209" s="1"/>
      <c r="X209" s="1">
        <f t="shared" ref="X209:X211" si="134">+P209-T209</f>
        <v>-3418.5699999999997</v>
      </c>
      <c r="Y209" s="1"/>
      <c r="Z209" s="5">
        <f t="shared" ref="Z209:Z211" si="135">IF(T209=0,0,X209/T209)</f>
        <v>-0.13538891089108909</v>
      </c>
    </row>
    <row r="210" spans="1:26" s="24" customFormat="1" hidden="1" outlineLevel="2" x14ac:dyDescent="0.25">
      <c r="A210" s="26"/>
      <c r="B210" s="11" t="str">
        <f>CONCATENATE("          ", "6303", " - ", "DATA PHONE LINES")</f>
        <v xml:space="preserve">          6303 - DATA PHONE LINES</v>
      </c>
      <c r="C210" s="11"/>
      <c r="D210" s="7">
        <v>590</v>
      </c>
      <c r="E210" s="2"/>
      <c r="F210" s="6">
        <f t="shared" si="128"/>
        <v>1.3455996985491765E-3</v>
      </c>
      <c r="G210" s="2"/>
      <c r="H210" s="7">
        <v>630</v>
      </c>
      <c r="I210" s="2"/>
      <c r="J210" s="6">
        <f t="shared" si="129"/>
        <v>1.3295066053264678E-3</v>
      </c>
      <c r="K210" s="2"/>
      <c r="L210" s="7">
        <f t="shared" si="130"/>
        <v>-40</v>
      </c>
      <c r="M210" s="2"/>
      <c r="N210" s="6">
        <f t="shared" si="131"/>
        <v>-6.3492063492063489E-2</v>
      </c>
      <c r="O210" s="11"/>
      <c r="P210" s="7">
        <v>3540</v>
      </c>
      <c r="Q210" s="2"/>
      <c r="R210" s="6">
        <f t="shared" si="132"/>
        <v>7.5276875044780699E-4</v>
      </c>
      <c r="S210" s="2"/>
      <c r="T210" s="7">
        <v>6300</v>
      </c>
      <c r="U210" s="2"/>
      <c r="V210" s="6">
        <f t="shared" si="133"/>
        <v>7.6896731107754779E-4</v>
      </c>
      <c r="W210" s="2"/>
      <c r="X210" s="7">
        <f t="shared" si="134"/>
        <v>-2760</v>
      </c>
      <c r="Y210" s="2"/>
      <c r="Z210" s="6">
        <f t="shared" si="135"/>
        <v>-0.43809523809523809</v>
      </c>
    </row>
    <row r="211" spans="1:26" s="24" customFormat="1" hidden="1" outlineLevel="2" x14ac:dyDescent="0.25">
      <c r="A211" s="26"/>
      <c r="B211" s="11" t="str">
        <f>CONCATENATE("          ", "6309", " - ", "TELEPHONE")</f>
        <v xml:space="preserve">          6309 - TELEPHONE</v>
      </c>
      <c r="C211" s="11"/>
      <c r="D211" s="7">
        <v>1372.76</v>
      </c>
      <c r="E211" s="2"/>
      <c r="F211" s="6">
        <f t="shared" si="128"/>
        <v>3.1308227833565551E-3</v>
      </c>
      <c r="G211" s="2"/>
      <c r="H211" s="7">
        <v>1665</v>
      </c>
      <c r="I211" s="2"/>
      <c r="J211" s="6">
        <f t="shared" si="129"/>
        <v>3.5136960283628075E-3</v>
      </c>
      <c r="K211" s="2"/>
      <c r="L211" s="7">
        <f t="shared" si="130"/>
        <v>-292.24</v>
      </c>
      <c r="M211" s="2"/>
      <c r="N211" s="6">
        <f t="shared" si="131"/>
        <v>-0.17551951951951952</v>
      </c>
      <c r="O211" s="11"/>
      <c r="P211" s="7">
        <v>18291.43</v>
      </c>
      <c r="Q211" s="2"/>
      <c r="R211" s="6">
        <f t="shared" si="132"/>
        <v>3.8896092951987379E-3</v>
      </c>
      <c r="S211" s="2"/>
      <c r="T211" s="7">
        <v>18950</v>
      </c>
      <c r="U211" s="2"/>
      <c r="V211" s="6">
        <f t="shared" si="133"/>
        <v>2.3130048483999254E-3</v>
      </c>
      <c r="W211" s="2"/>
      <c r="X211" s="7">
        <f t="shared" si="134"/>
        <v>-658.56999999999971</v>
      </c>
      <c r="Y211" s="2"/>
      <c r="Z211" s="6">
        <f t="shared" si="135"/>
        <v>-3.475303430079154E-2</v>
      </c>
    </row>
    <row r="212" spans="1:26" s="25" customFormat="1" outlineLevel="1" collapsed="1" x14ac:dyDescent="0.25">
      <c r="A212" s="27"/>
      <c r="B212" s="13" t="str">
        <f>CONCATENATE("     ","Training                                          ")</f>
        <v xml:space="preserve">     Training                                          </v>
      </c>
      <c r="C212" s="13"/>
      <c r="D212" s="1">
        <f>SUM(OSRRefD22_22x_0)</f>
        <v>0</v>
      </c>
      <c r="E212" s="1"/>
      <c r="F212" s="5">
        <f t="shared" ref="F212:F217" si="136">IF(D$12=0,0,D212/D$12)</f>
        <v>0</v>
      </c>
      <c r="G212" s="1"/>
      <c r="H212" s="1">
        <f>SUM(OSRRefH22_22x_0)</f>
        <v>0</v>
      </c>
      <c r="I212" s="1"/>
      <c r="J212" s="5">
        <f t="shared" ref="J212:J217" si="137">IF(H$12=0,0,H212/H$12)</f>
        <v>0</v>
      </c>
      <c r="K212" s="1"/>
      <c r="L212" s="1">
        <f t="shared" ref="L212:L217" si="138">+D212-H212</f>
        <v>0</v>
      </c>
      <c r="M212" s="1"/>
      <c r="N212" s="5">
        <f t="shared" ref="N212:N217" si="139">IF(H212=0,0,L212/H212)</f>
        <v>0</v>
      </c>
      <c r="O212" s="13"/>
      <c r="P212" s="1">
        <f>SUM(OSRRefP22_22x_0)</f>
        <v>895.63</v>
      </c>
      <c r="Q212" s="1"/>
      <c r="R212" s="5">
        <f t="shared" ref="R212:R217" si="140">IF(P$12=0,0,P212/P$12)</f>
        <v>1.9045262032869192E-4</v>
      </c>
      <c r="S212" s="1"/>
      <c r="T212" s="1">
        <f>SUM(OSRRefT22_22x_0)</f>
        <v>11970</v>
      </c>
      <c r="U212" s="1"/>
      <c r="V212" s="5">
        <f t="shared" ref="V212:V217" si="141">IF(T$12=0,0,T212/T$12)</f>
        <v>1.4610378910473408E-3</v>
      </c>
      <c r="W212" s="1"/>
      <c r="X212" s="1">
        <f t="shared" ref="X212:X217" si="142">+P212-T212</f>
        <v>-11074.37</v>
      </c>
      <c r="Y212" s="1"/>
      <c r="Z212" s="5">
        <f t="shared" ref="Z212:Z217" si="143">IF(T212=0,0,X212/T212)</f>
        <v>-0.92517710944026743</v>
      </c>
    </row>
    <row r="213" spans="1:26" s="24" customFormat="1" hidden="1" outlineLevel="2" x14ac:dyDescent="0.25">
      <c r="A213" s="26"/>
      <c r="B213" s="11" t="str">
        <f>CONCATENATE("          ", "6376", " - ", "TRAINING")</f>
        <v xml:space="preserve">          6376 - TRAINING</v>
      </c>
      <c r="C213" s="11"/>
      <c r="D213" s="7"/>
      <c r="E213" s="2"/>
      <c r="F213" s="6">
        <f t="shared" si="136"/>
        <v>0</v>
      </c>
      <c r="G213" s="2"/>
      <c r="H213" s="7">
        <v>0</v>
      </c>
      <c r="I213" s="2"/>
      <c r="J213" s="6">
        <f t="shared" si="137"/>
        <v>0</v>
      </c>
      <c r="K213" s="2"/>
      <c r="L213" s="7">
        <f t="shared" si="138"/>
        <v>0</v>
      </c>
      <c r="M213" s="2"/>
      <c r="N213" s="6">
        <f t="shared" si="139"/>
        <v>0</v>
      </c>
      <c r="O213" s="11"/>
      <c r="P213" s="7">
        <v>895.63</v>
      </c>
      <c r="Q213" s="2"/>
      <c r="R213" s="6">
        <f t="shared" si="140"/>
        <v>1.9045262032869192E-4</v>
      </c>
      <c r="S213" s="2"/>
      <c r="T213" s="7">
        <v>11970</v>
      </c>
      <c r="U213" s="2"/>
      <c r="V213" s="6">
        <f t="shared" si="141"/>
        <v>1.4610378910473408E-3</v>
      </c>
      <c r="W213" s="2"/>
      <c r="X213" s="7">
        <f t="shared" si="142"/>
        <v>-11074.37</v>
      </c>
      <c r="Y213" s="2"/>
      <c r="Z213" s="6">
        <f t="shared" si="143"/>
        <v>-0.92517710944026743</v>
      </c>
    </row>
    <row r="214" spans="1:26" s="25" customFormat="1" outlineLevel="1" collapsed="1" x14ac:dyDescent="0.25">
      <c r="A214" s="27"/>
      <c r="B214" s="13" t="str">
        <f>CONCATENATE("     ","Travel                                            ")</f>
        <v xml:space="preserve">     Travel                                            </v>
      </c>
      <c r="C214" s="13"/>
      <c r="D214" s="1">
        <f>SUM(OSRRefD22_23x_0)</f>
        <v>69.069999999999993</v>
      </c>
      <c r="E214" s="1"/>
      <c r="F214" s="5">
        <f t="shared" si="136"/>
        <v>1.5752639182846034E-4</v>
      </c>
      <c r="G214" s="1"/>
      <c r="H214" s="1">
        <f>SUM(OSRRefH22_23x_0)</f>
        <v>50</v>
      </c>
      <c r="I214" s="1"/>
      <c r="J214" s="5">
        <f t="shared" si="137"/>
        <v>1.0551639724813236E-4</v>
      </c>
      <c r="K214" s="1"/>
      <c r="L214" s="1">
        <f t="shared" si="138"/>
        <v>19.069999999999993</v>
      </c>
      <c r="M214" s="1"/>
      <c r="N214" s="5">
        <f t="shared" si="139"/>
        <v>0.38139999999999985</v>
      </c>
      <c r="O214" s="13"/>
      <c r="P214" s="1">
        <f>SUM(OSRRefP22_23x_0)</f>
        <v>972.4</v>
      </c>
      <c r="Q214" s="1"/>
      <c r="R214" s="5">
        <f t="shared" si="140"/>
        <v>2.0677749517950496E-4</v>
      </c>
      <c r="S214" s="1"/>
      <c r="T214" s="1">
        <f>SUM(OSRRefT22_23x_0)</f>
        <v>700</v>
      </c>
      <c r="U214" s="1"/>
      <c r="V214" s="5">
        <f t="shared" si="141"/>
        <v>8.5440812341949752E-5</v>
      </c>
      <c r="W214" s="1"/>
      <c r="X214" s="1">
        <f t="shared" si="142"/>
        <v>272.39999999999998</v>
      </c>
      <c r="Y214" s="1"/>
      <c r="Z214" s="5">
        <f t="shared" si="143"/>
        <v>0.38914285714285712</v>
      </c>
    </row>
    <row r="215" spans="1:26" s="24" customFormat="1" hidden="1" outlineLevel="2" x14ac:dyDescent="0.25">
      <c r="A215" s="26"/>
      <c r="B215" s="11" t="str">
        <f>CONCATENATE("          ", "6292", " - ", "TRAVEL/CONFERENCE")</f>
        <v xml:space="preserve">          6292 - TRAVEL/CONFERENCE</v>
      </c>
      <c r="C215" s="11"/>
      <c r="D215" s="7"/>
      <c r="E215" s="2"/>
      <c r="F215" s="6">
        <f t="shared" si="136"/>
        <v>0</v>
      </c>
      <c r="G215" s="2"/>
      <c r="H215" s="7"/>
      <c r="I215" s="2"/>
      <c r="J215" s="6">
        <f t="shared" si="137"/>
        <v>0</v>
      </c>
      <c r="K215" s="2"/>
      <c r="L215" s="7">
        <f t="shared" si="138"/>
        <v>0</v>
      </c>
      <c r="M215" s="2"/>
      <c r="N215" s="6">
        <f t="shared" si="139"/>
        <v>0</v>
      </c>
      <c r="O215" s="11"/>
      <c r="P215" s="7">
        <v>299.16000000000003</v>
      </c>
      <c r="Q215" s="2"/>
      <c r="R215" s="6">
        <f t="shared" si="140"/>
        <v>6.3615338809029938E-5</v>
      </c>
      <c r="S215" s="2"/>
      <c r="T215" s="7">
        <v>0</v>
      </c>
      <c r="U215" s="2"/>
      <c r="V215" s="6">
        <f t="shared" si="141"/>
        <v>0</v>
      </c>
      <c r="W215" s="2"/>
      <c r="X215" s="7">
        <f t="shared" si="142"/>
        <v>299.16000000000003</v>
      </c>
      <c r="Y215" s="2"/>
      <c r="Z215" s="6">
        <f t="shared" si="143"/>
        <v>0</v>
      </c>
    </row>
    <row r="216" spans="1:26" s="24" customFormat="1" hidden="1" outlineLevel="2" x14ac:dyDescent="0.25">
      <c r="A216" s="26"/>
      <c r="B216" s="11" t="str">
        <f>CONCATENATE("          ", "6294", " - ", "TRAVEL OPERATIONAL")</f>
        <v xml:space="preserve">          6294 - TRAVEL OPERATIONAL</v>
      </c>
      <c r="C216" s="11"/>
      <c r="D216" s="7">
        <v>69.069999999999993</v>
      </c>
      <c r="E216" s="2"/>
      <c r="F216" s="6">
        <f t="shared" si="136"/>
        <v>1.5752639182846034E-4</v>
      </c>
      <c r="G216" s="2"/>
      <c r="H216" s="7">
        <v>25</v>
      </c>
      <c r="I216" s="2"/>
      <c r="J216" s="6">
        <f t="shared" si="137"/>
        <v>5.2758198624066181E-5</v>
      </c>
      <c r="K216" s="2"/>
      <c r="L216" s="7">
        <f t="shared" si="138"/>
        <v>44.069999999999993</v>
      </c>
      <c r="M216" s="2"/>
      <c r="N216" s="6">
        <f t="shared" si="139"/>
        <v>1.7627999999999997</v>
      </c>
      <c r="O216" s="11"/>
      <c r="P216" s="7">
        <v>613.35</v>
      </c>
      <c r="Q216" s="2"/>
      <c r="R216" s="6">
        <f t="shared" si="140"/>
        <v>1.3042675510936794E-4</v>
      </c>
      <c r="S216" s="2"/>
      <c r="T216" s="7">
        <v>250</v>
      </c>
      <c r="U216" s="2"/>
      <c r="V216" s="6">
        <f t="shared" si="141"/>
        <v>3.0514575836410628E-5</v>
      </c>
      <c r="W216" s="2"/>
      <c r="X216" s="7">
        <f t="shared" si="142"/>
        <v>363.35</v>
      </c>
      <c r="Y216" s="2"/>
      <c r="Z216" s="6">
        <f t="shared" si="143"/>
        <v>1.4534</v>
      </c>
    </row>
    <row r="217" spans="1:26" s="24" customFormat="1" hidden="1" outlineLevel="2" x14ac:dyDescent="0.25">
      <c r="A217" s="26"/>
      <c r="B217" s="11" t="str">
        <f>CONCATENATE("          ", "6298", " - ", "VEHICLE MILEAGE")</f>
        <v xml:space="preserve">          6298 - VEHICLE MILEAGE</v>
      </c>
      <c r="C217" s="11"/>
      <c r="D217" s="7"/>
      <c r="E217" s="2"/>
      <c r="F217" s="6">
        <f t="shared" si="136"/>
        <v>0</v>
      </c>
      <c r="G217" s="2"/>
      <c r="H217" s="7">
        <v>25</v>
      </c>
      <c r="I217" s="2"/>
      <c r="J217" s="6">
        <f t="shared" si="137"/>
        <v>5.2758198624066181E-5</v>
      </c>
      <c r="K217" s="2"/>
      <c r="L217" s="7">
        <f t="shared" si="138"/>
        <v>-25</v>
      </c>
      <c r="M217" s="2"/>
      <c r="N217" s="6">
        <f t="shared" si="139"/>
        <v>-1</v>
      </c>
      <c r="O217" s="11"/>
      <c r="P217" s="7">
        <v>59.89</v>
      </c>
      <c r="Q217" s="2"/>
      <c r="R217" s="6">
        <f t="shared" si="140"/>
        <v>1.2735401261107109E-5</v>
      </c>
      <c r="S217" s="2"/>
      <c r="T217" s="7">
        <v>450</v>
      </c>
      <c r="U217" s="2"/>
      <c r="V217" s="6">
        <f t="shared" si="141"/>
        <v>5.4926236505539127E-5</v>
      </c>
      <c r="W217" s="2"/>
      <c r="X217" s="7">
        <f t="shared" si="142"/>
        <v>-390.11</v>
      </c>
      <c r="Y217" s="2"/>
      <c r="Z217" s="6">
        <f t="shared" si="143"/>
        <v>-0.86691111111111119</v>
      </c>
    </row>
    <row r="218" spans="1:26" s="25" customFormat="1" outlineLevel="1" collapsed="1" x14ac:dyDescent="0.25">
      <c r="A218" s="27"/>
      <c r="B218" s="13" t="str">
        <f>CONCATENATE("     ","Utilities                                         ")</f>
        <v xml:space="preserve">     Utilities                                         </v>
      </c>
      <c r="C218" s="13"/>
      <c r="D218" s="1">
        <f>SUM(OSRRefD22_24x_0)</f>
        <v>6161.93</v>
      </c>
      <c r="E218" s="1"/>
      <c r="F218" s="5">
        <f t="shared" ref="F218:F219" si="144">IF(D$12=0,0,D218/D$12)</f>
        <v>1.4053374831323944E-2</v>
      </c>
      <c r="G218" s="1"/>
      <c r="H218" s="1">
        <f>SUM(OSRRefH22_24x_0)</f>
        <v>6105</v>
      </c>
      <c r="I218" s="1"/>
      <c r="J218" s="5">
        <f t="shared" ref="J218:J219" si="145">IF(H$12=0,0,H218/H$12)</f>
        <v>1.2883552103996962E-2</v>
      </c>
      <c r="K218" s="1"/>
      <c r="L218" s="1">
        <f t="shared" ref="L218:L219" si="146">+D218-H218</f>
        <v>56.930000000000291</v>
      </c>
      <c r="M218" s="1"/>
      <c r="N218" s="5">
        <f t="shared" ref="N218:N219" si="147">IF(H218=0,0,L218/H218)</f>
        <v>9.3251433251433733E-3</v>
      </c>
      <c r="O218" s="13"/>
      <c r="P218" s="1">
        <f>SUM(OSRRefP22_24x_0)</f>
        <v>58679.55</v>
      </c>
      <c r="Q218" s="1"/>
      <c r="R218" s="5">
        <f t="shared" ref="R218:R219" si="148">IF(P$12=0,0,P218/P$12)</f>
        <v>1.2478003257158084E-2</v>
      </c>
      <c r="S218" s="1"/>
      <c r="T218" s="1">
        <f>SUM(OSRRefT22_24x_0)</f>
        <v>64030</v>
      </c>
      <c r="U218" s="1"/>
      <c r="V218" s="5">
        <f t="shared" ref="V218:V219" si="149">IF(T$12=0,0,T218/T$12)</f>
        <v>7.8153931632214905E-3</v>
      </c>
      <c r="W218" s="1"/>
      <c r="X218" s="1">
        <f t="shared" ref="X218:X219" si="150">+P218-T218</f>
        <v>-5350.4499999999971</v>
      </c>
      <c r="Y218" s="1"/>
      <c r="Z218" s="5">
        <f t="shared" ref="Z218:Z219" si="151">IF(T218=0,0,X218/T218)</f>
        <v>-8.3561611744494724E-2</v>
      </c>
    </row>
    <row r="219" spans="1:26" s="24" customFormat="1" hidden="1" outlineLevel="2" x14ac:dyDescent="0.25">
      <c r="A219" s="26"/>
      <c r="B219" s="11" t="str">
        <f>CONCATENATE("          ", "6274", " - ", "UTILITIES")</f>
        <v xml:space="preserve">          6274 - UTILITIES</v>
      </c>
      <c r="C219" s="11"/>
      <c r="D219" s="7">
        <v>6161.93</v>
      </c>
      <c r="E219" s="2"/>
      <c r="F219" s="6">
        <f t="shared" si="144"/>
        <v>1.4053374831323944E-2</v>
      </c>
      <c r="G219" s="2"/>
      <c r="H219" s="7">
        <v>6105</v>
      </c>
      <c r="I219" s="2"/>
      <c r="J219" s="6">
        <f t="shared" si="145"/>
        <v>1.2883552103996962E-2</v>
      </c>
      <c r="K219" s="2"/>
      <c r="L219" s="7">
        <f t="shared" si="146"/>
        <v>56.930000000000291</v>
      </c>
      <c r="M219" s="2"/>
      <c r="N219" s="6">
        <f t="shared" si="147"/>
        <v>9.3251433251433733E-3</v>
      </c>
      <c r="O219" s="11"/>
      <c r="P219" s="7">
        <v>58679.55</v>
      </c>
      <c r="Q219" s="2"/>
      <c r="R219" s="6">
        <f t="shared" si="148"/>
        <v>1.2478003257158084E-2</v>
      </c>
      <c r="S219" s="2"/>
      <c r="T219" s="7">
        <v>64030</v>
      </c>
      <c r="U219" s="2"/>
      <c r="V219" s="6">
        <f t="shared" si="149"/>
        <v>7.8153931632214905E-3</v>
      </c>
      <c r="W219" s="2"/>
      <c r="X219" s="7">
        <f t="shared" si="150"/>
        <v>-5350.4499999999971</v>
      </c>
      <c r="Y219" s="2"/>
      <c r="Z219" s="6">
        <f t="shared" si="151"/>
        <v>-8.3561611744494724E-2</v>
      </c>
    </row>
    <row r="220" spans="1:26" s="61" customFormat="1" x14ac:dyDescent="0.25">
      <c r="A220" s="36"/>
      <c r="B220" s="36"/>
      <c r="C220" s="36"/>
      <c r="D220" s="1"/>
      <c r="E220" s="1"/>
      <c r="F220" s="5"/>
      <c r="G220" s="1"/>
      <c r="H220" s="1"/>
      <c r="I220" s="1"/>
      <c r="J220" s="5"/>
      <c r="K220" s="1"/>
      <c r="L220" s="1"/>
      <c r="M220" s="1"/>
      <c r="N220" s="5"/>
      <c r="O220" s="36"/>
      <c r="P220" s="1"/>
      <c r="Q220" s="1"/>
      <c r="R220" s="5"/>
      <c r="S220" s="1"/>
      <c r="T220" s="1"/>
      <c r="U220" s="1"/>
      <c r="V220" s="5"/>
      <c r="W220" s="1"/>
      <c r="X220" s="1"/>
      <c r="Y220" s="1"/>
      <c r="Z220" s="5"/>
    </row>
    <row r="221" spans="1:26" s="23" customFormat="1" collapsed="1" x14ac:dyDescent="0.25">
      <c r="A221" s="10"/>
      <c r="B221" s="29" t="s">
        <v>293</v>
      </c>
      <c r="C221" s="10"/>
      <c r="D221" s="4">
        <f>SUM(OSRRefD25x_0)</f>
        <v>30690.94</v>
      </c>
      <c r="E221" s="4"/>
      <c r="F221" s="12">
        <f t="shared" ref="F221:F226" si="152">IF(D$12=0,0,D221/D$12)</f>
        <v>6.9996134935916707E-2</v>
      </c>
      <c r="G221" s="4"/>
      <c r="H221" s="4">
        <f>SUM(OSRRefH25x_0)</f>
        <v>34025</v>
      </c>
      <c r="I221" s="4"/>
      <c r="J221" s="12">
        <f t="shared" ref="J221:J226" si="153">IF(H$12=0,0,H221/H$12)</f>
        <v>7.1803908327354074E-2</v>
      </c>
      <c r="K221" s="4"/>
      <c r="L221" s="4">
        <f t="shared" ref="L221:L226" si="154">+D221-H221</f>
        <v>-3334.0600000000013</v>
      </c>
      <c r="M221" s="4"/>
      <c r="N221" s="12">
        <f t="shared" ref="N221:N226" si="155">IF(H221=0,0,L221/H221)</f>
        <v>-9.7988537839823697E-2</v>
      </c>
      <c r="O221" s="10"/>
      <c r="P221" s="4">
        <f>SUM(OSRRefP25x_0)</f>
        <v>992993.17000000016</v>
      </c>
      <c r="Q221" s="4"/>
      <c r="R221" s="12">
        <f t="shared" ref="R221:R226" si="156">IF(P$12=0,0,P221/P$12)</f>
        <v>0.21115656152093418</v>
      </c>
      <c r="S221" s="4"/>
      <c r="T221" s="4">
        <f>SUM(OSRRefT25x_0)</f>
        <v>870770</v>
      </c>
      <c r="U221" s="4"/>
      <c r="V221" s="12">
        <f t="shared" ref="V221:V226" si="157">IF(T$12=0,0,T221/T$12)</f>
        <v>0.10628470880428513</v>
      </c>
      <c r="W221" s="4"/>
      <c r="X221" s="4">
        <f t="shared" ref="X221:X226" si="158">+P221-T221</f>
        <v>122223.17000000016</v>
      </c>
      <c r="Y221" s="4"/>
      <c r="Z221" s="12">
        <f t="shared" ref="Z221:Z226" si="159">IF(T221=0,0,X221/T221)</f>
        <v>0.14036217370832729</v>
      </c>
    </row>
    <row r="222" spans="1:26" s="24" customFormat="1" hidden="1" outlineLevel="1" x14ac:dyDescent="0.25">
      <c r="A222" s="44"/>
      <c r="B222" s="11" t="str">
        <f>CONCATENATE("          ", "4098", " - ", "TAXABLE SALES-GRAD RENTALS")</f>
        <v xml:space="preserve">          4098 - TAXABLE SALES-GRAD RENTALS</v>
      </c>
      <c r="C222" s="11"/>
      <c r="D222" s="2">
        <f>--49.95</f>
        <v>49.95</v>
      </c>
      <c r="E222" s="2"/>
      <c r="F222" s="19">
        <f t="shared" si="152"/>
        <v>1.1391983888564639E-4</v>
      </c>
      <c r="G222" s="2"/>
      <c r="H222" s="2"/>
      <c r="I222" s="2"/>
      <c r="J222" s="19">
        <f t="shared" si="153"/>
        <v>0</v>
      </c>
      <c r="K222" s="2"/>
      <c r="L222" s="2">
        <f t="shared" si="154"/>
        <v>49.95</v>
      </c>
      <c r="M222" s="2"/>
      <c r="N222" s="19">
        <f t="shared" si="155"/>
        <v>0</v>
      </c>
      <c r="O222" s="11"/>
      <c r="P222" s="2">
        <f>--49.95</f>
        <v>49.95</v>
      </c>
      <c r="Q222" s="2"/>
      <c r="R222" s="19">
        <f t="shared" si="156"/>
        <v>1.0621694656742363E-5</v>
      </c>
      <c r="S222" s="2"/>
      <c r="T222" s="2"/>
      <c r="U222" s="2"/>
      <c r="V222" s="19">
        <f t="shared" si="157"/>
        <v>0</v>
      </c>
      <c r="W222" s="2"/>
      <c r="X222" s="2">
        <f t="shared" si="158"/>
        <v>49.95</v>
      </c>
      <c r="Y222" s="2"/>
      <c r="Z222" s="19">
        <f t="shared" si="159"/>
        <v>0</v>
      </c>
    </row>
    <row r="223" spans="1:26" s="24" customFormat="1" hidden="1" outlineLevel="1" x14ac:dyDescent="0.25">
      <c r="A223" s="44"/>
      <c r="B223" s="11" t="str">
        <f>CONCATENATE("          ", "9150", " - ", "MISC. INCOME")</f>
        <v xml:space="preserve">          9150 - MISC. INCOME</v>
      </c>
      <c r="C223" s="11"/>
      <c r="D223" s="2">
        <f>--30090.95</f>
        <v>30090.95</v>
      </c>
      <c r="E223" s="2"/>
      <c r="F223" s="19">
        <f t="shared" si="152"/>
        <v>6.8627751269590406E-2</v>
      </c>
      <c r="G223" s="2"/>
      <c r="H223" s="2">
        <v>18550</v>
      </c>
      <c r="I223" s="2"/>
      <c r="J223" s="19">
        <f t="shared" si="153"/>
        <v>3.9146583379057104E-2</v>
      </c>
      <c r="K223" s="2"/>
      <c r="L223" s="2">
        <f t="shared" si="154"/>
        <v>11540.95</v>
      </c>
      <c r="M223" s="2"/>
      <c r="N223" s="19">
        <f t="shared" si="155"/>
        <v>0.6221536388140162</v>
      </c>
      <c r="O223" s="11"/>
      <c r="P223" s="2">
        <f>--346619.7</f>
        <v>346619.7</v>
      </c>
      <c r="Q223" s="2"/>
      <c r="R223" s="19">
        <f t="shared" si="156"/>
        <v>7.3707479788020835E-2</v>
      </c>
      <c r="S223" s="2"/>
      <c r="T223" s="2">
        <v>199800</v>
      </c>
      <c r="U223" s="2"/>
      <c r="V223" s="19">
        <f t="shared" si="157"/>
        <v>2.4387249008459372E-2</v>
      </c>
      <c r="W223" s="2"/>
      <c r="X223" s="2">
        <f t="shared" si="158"/>
        <v>146819.70000000001</v>
      </c>
      <c r="Y223" s="2"/>
      <c r="Z223" s="19">
        <f t="shared" si="159"/>
        <v>0.73483333333333334</v>
      </c>
    </row>
    <row r="224" spans="1:26" s="24" customFormat="1" hidden="1" outlineLevel="1" x14ac:dyDescent="0.25">
      <c r="A224" s="44"/>
      <c r="B224" s="11" t="str">
        <f>CONCATENATE("          ", "9151", " - ", "MISC. INCOME")</f>
        <v xml:space="preserve">          9151 - MISC. INCOME</v>
      </c>
      <c r="C224" s="11"/>
      <c r="D224" s="2">
        <f>0</f>
        <v>0</v>
      </c>
      <c r="E224" s="2"/>
      <c r="F224" s="19">
        <f t="shared" si="152"/>
        <v>0</v>
      </c>
      <c r="G224" s="2"/>
      <c r="H224" s="2">
        <v>15475</v>
      </c>
      <c r="I224" s="2"/>
      <c r="J224" s="19">
        <f t="shared" si="153"/>
        <v>3.2657324948296963E-2</v>
      </c>
      <c r="K224" s="2"/>
      <c r="L224" s="2">
        <f t="shared" si="154"/>
        <v>-15475</v>
      </c>
      <c r="M224" s="2"/>
      <c r="N224" s="19">
        <f t="shared" si="155"/>
        <v>-1</v>
      </c>
      <c r="O224" s="11"/>
      <c r="P224" s="2">
        <f>--295628.46</f>
        <v>295628.46000000002</v>
      </c>
      <c r="Q224" s="2"/>
      <c r="R224" s="19">
        <f t="shared" si="156"/>
        <v>6.2864369048307778E-2</v>
      </c>
      <c r="S224" s="2"/>
      <c r="T224" s="2">
        <v>670970</v>
      </c>
      <c r="U224" s="2"/>
      <c r="V224" s="19">
        <f t="shared" si="157"/>
        <v>8.1897459795825758E-2</v>
      </c>
      <c r="W224" s="2"/>
      <c r="X224" s="2">
        <f t="shared" si="158"/>
        <v>-375341.54</v>
      </c>
      <c r="Y224" s="2"/>
      <c r="Z224" s="19">
        <f t="shared" si="159"/>
        <v>-0.55940137412999091</v>
      </c>
    </row>
    <row r="225" spans="1:26" s="24" customFormat="1" hidden="1" outlineLevel="1" x14ac:dyDescent="0.25">
      <c r="A225" s="44"/>
      <c r="B225" s="11" t="str">
        <f>CONCATENATE("          ", "9152", " - ", "MISC. INCOME")</f>
        <v xml:space="preserve">          9152 - MISC. INCOME</v>
      </c>
      <c r="C225" s="11"/>
      <c r="D225" s="2">
        <f>--505.94</f>
        <v>505.94</v>
      </c>
      <c r="E225" s="2"/>
      <c r="F225" s="19">
        <f t="shared" si="152"/>
        <v>1.1538859516677462E-3</v>
      </c>
      <c r="G225" s="2"/>
      <c r="H225" s="2"/>
      <c r="I225" s="2"/>
      <c r="J225" s="19">
        <f t="shared" si="153"/>
        <v>0</v>
      </c>
      <c r="K225" s="2"/>
      <c r="L225" s="2">
        <f t="shared" si="154"/>
        <v>505.94</v>
      </c>
      <c r="M225" s="2"/>
      <c r="N225" s="19">
        <f t="shared" si="155"/>
        <v>0</v>
      </c>
      <c r="O225" s="11"/>
      <c r="P225" s="2">
        <f>--4216.5</f>
        <v>4216.5</v>
      </c>
      <c r="Q225" s="2"/>
      <c r="R225" s="19">
        <f t="shared" si="156"/>
        <v>8.9662413453762101E-4</v>
      </c>
      <c r="S225" s="2"/>
      <c r="T225" s="2"/>
      <c r="U225" s="2"/>
      <c r="V225" s="19">
        <f t="shared" si="157"/>
        <v>0</v>
      </c>
      <c r="W225" s="2"/>
      <c r="X225" s="2">
        <f t="shared" si="158"/>
        <v>4216.5</v>
      </c>
      <c r="Y225" s="2"/>
      <c r="Z225" s="19">
        <f t="shared" si="159"/>
        <v>0</v>
      </c>
    </row>
    <row r="226" spans="1:26" s="24" customFormat="1" hidden="1" outlineLevel="1" x14ac:dyDescent="0.25">
      <c r="A226" s="44"/>
      <c r="B226" s="11" t="str">
        <f>CONCATENATE("          ", "9163", " - ", "MISC. INCOME")</f>
        <v xml:space="preserve">          9163 - MISC. INCOME</v>
      </c>
      <c r="C226" s="11"/>
      <c r="D226" s="2">
        <f>--44.1</f>
        <v>44.1</v>
      </c>
      <c r="E226" s="2"/>
      <c r="F226" s="19">
        <f t="shared" si="152"/>
        <v>1.0057787577291302E-4</v>
      </c>
      <c r="G226" s="2"/>
      <c r="H226" s="2"/>
      <c r="I226" s="2"/>
      <c r="J226" s="19">
        <f t="shared" si="153"/>
        <v>0</v>
      </c>
      <c r="K226" s="2"/>
      <c r="L226" s="2">
        <f t="shared" si="154"/>
        <v>44.1</v>
      </c>
      <c r="M226" s="2"/>
      <c r="N226" s="19">
        <f t="shared" si="155"/>
        <v>0</v>
      </c>
      <c r="O226" s="11"/>
      <c r="P226" s="2">
        <f>--346478.56</f>
        <v>346478.56</v>
      </c>
      <c r="Q226" s="2"/>
      <c r="R226" s="19">
        <f t="shared" si="156"/>
        <v>7.3677466855411169E-2</v>
      </c>
      <c r="S226" s="2"/>
      <c r="T226" s="2"/>
      <c r="U226" s="2"/>
      <c r="V226" s="19">
        <f t="shared" si="157"/>
        <v>0</v>
      </c>
      <c r="W226" s="2"/>
      <c r="X226" s="2">
        <f t="shared" si="158"/>
        <v>346478.56</v>
      </c>
      <c r="Y226" s="2"/>
      <c r="Z226" s="19">
        <f t="shared" si="159"/>
        <v>0</v>
      </c>
    </row>
    <row r="227" spans="1:26" x14ac:dyDescent="0.25">
      <c r="A227" s="9"/>
      <c r="B227" s="10"/>
      <c r="C227" s="10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O227" s="10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s="23" customFormat="1" x14ac:dyDescent="0.25">
      <c r="A228" s="10"/>
      <c r="B228" s="28" t="s">
        <v>277</v>
      </c>
      <c r="C228" s="28"/>
      <c r="D228" s="21">
        <f>+D120-D122+D221</f>
        <v>-9601.4499999998407</v>
      </c>
      <c r="E228" s="14"/>
      <c r="F228" s="20">
        <f>IF(D$12=0,0,D228/D$12)</f>
        <v>-2.1897810551923347E-2</v>
      </c>
      <c r="G228" s="14"/>
      <c r="H228" s="21">
        <f>+H120-H122+H221</f>
        <v>-78671.292030973185</v>
      </c>
      <c r="I228" s="14"/>
      <c r="J228" s="20">
        <f>IF(H$12=0,0,H228/H$12)</f>
        <v>-0.16602222603927994</v>
      </c>
      <c r="K228" s="16"/>
      <c r="L228" s="21">
        <f>+D228-H228</f>
        <v>69069.842030973348</v>
      </c>
      <c r="M228" s="16"/>
      <c r="N228" s="20">
        <f>IF(H228=0,0,L228/H228)</f>
        <v>-0.87795484538095914</v>
      </c>
      <c r="O228" s="29"/>
      <c r="P228" s="21">
        <f>+P120-P122+P221</f>
        <v>113143.18999999878</v>
      </c>
      <c r="Q228" s="14"/>
      <c r="R228" s="20">
        <f>IF(P$12=0,0,P228/P$12)</f>
        <v>2.4059507841236696E-2</v>
      </c>
      <c r="S228" s="14"/>
      <c r="T228" s="21">
        <f>+T120-T122+T221</f>
        <v>538902.72528584674</v>
      </c>
      <c r="U228" s="14"/>
      <c r="V228" s="20">
        <f>IF(T$12=0,0,T228/T$12)</f>
        <v>6.5777552316733337E-2</v>
      </c>
      <c r="W228" s="16"/>
      <c r="X228" s="21">
        <f>+P228-T228</f>
        <v>-425759.53528584796</v>
      </c>
      <c r="Y228" s="16"/>
      <c r="Z228" s="20">
        <f>IF(T228=0,0,X228/T228)</f>
        <v>-0.79004895560699762</v>
      </c>
    </row>
    <row r="229" spans="1:26" x14ac:dyDescent="0.25">
      <c r="A229" s="9"/>
      <c r="B229" s="10"/>
      <c r="C229" s="9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3" customFormat="1" x14ac:dyDescent="0.25">
      <c r="A230" s="52"/>
      <c r="B230" s="10" t="s">
        <v>128</v>
      </c>
      <c r="C230" s="10"/>
      <c r="D230" s="4">
        <v>105001.36</v>
      </c>
      <c r="E230" s="4"/>
      <c r="F230" s="12">
        <f>IF(D$12=0,0,D230/D$12)</f>
        <v>0.23947423451398908</v>
      </c>
      <c r="G230" s="4"/>
      <c r="H230" s="4">
        <v>116583</v>
      </c>
      <c r="I230" s="4"/>
      <c r="J230" s="12">
        <f>IF(H$12=0,0,H230/H$12)</f>
        <v>0.24602836280758031</v>
      </c>
      <c r="K230" s="4"/>
      <c r="L230" s="4">
        <f>+D230-H230</f>
        <v>-11581.64</v>
      </c>
      <c r="M230" s="4"/>
      <c r="N230" s="12">
        <f>IF(H230=0,0,L230/H230)</f>
        <v>-9.9342442723210064E-2</v>
      </c>
      <c r="O230" s="10"/>
      <c r="P230" s="4">
        <v>983811.25</v>
      </c>
      <c r="Q230" s="4"/>
      <c r="R230" s="12">
        <f>IF(P$12=0,0,P230/P$12)</f>
        <v>0.20920405800536584</v>
      </c>
      <c r="S230" s="4"/>
      <c r="T230" s="4">
        <v>1485587</v>
      </c>
      <c r="U230" s="4"/>
      <c r="V230" s="12">
        <f>IF(T$12=0,0,T230/T$12)</f>
        <v>0.18132822869234302</v>
      </c>
      <c r="W230" s="4"/>
      <c r="X230" s="4">
        <f>+P230-T230</f>
        <v>-501775.75</v>
      </c>
      <c r="Y230" s="4"/>
      <c r="Z230" s="12">
        <f>IF(T230=0,0,X230/T230)</f>
        <v>-0.33776261504711608</v>
      </c>
    </row>
    <row r="231" spans="1:26" x14ac:dyDescent="0.25">
      <c r="A231" s="9"/>
      <c r="B231" s="10"/>
      <c r="C231" s="10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O231" s="10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.75" thickBot="1" x14ac:dyDescent="0.3">
      <c r="A232" s="10"/>
      <c r="B232" s="28" t="s">
        <v>126</v>
      </c>
      <c r="C232" s="28"/>
      <c r="D232" s="31">
        <f>+D228-D230</f>
        <v>-114602.80999999984</v>
      </c>
      <c r="E232" s="14"/>
      <c r="F232" s="33">
        <f>IF(D$12=0,0,D232/D$12)</f>
        <v>-0.26137204506591244</v>
      </c>
      <c r="G232" s="14"/>
      <c r="H232" s="31">
        <f>+H228-H230</f>
        <v>-195254.29203097319</v>
      </c>
      <c r="I232" s="14"/>
      <c r="J232" s="33">
        <f>IF(H$12=0,0,H232/H$12)</f>
        <v>-0.41205058884686024</v>
      </c>
      <c r="K232" s="16"/>
      <c r="L232" s="31">
        <f>D232-H232</f>
        <v>80651.482030973348</v>
      </c>
      <c r="M232" s="16"/>
      <c r="N232" s="33">
        <f>IF(H232=0,0,L232/H232)</f>
        <v>-0.41305868973256477</v>
      </c>
      <c r="O232" s="29"/>
      <c r="P232" s="31">
        <f>+P228-P230</f>
        <v>-870668.06000000122</v>
      </c>
      <c r="Q232" s="14"/>
      <c r="R232" s="33">
        <f>IF(P$12=0,0,P232/P$12)</f>
        <v>-0.18514455016412915</v>
      </c>
      <c r="S232" s="14"/>
      <c r="T232" s="31">
        <f>+T228-T230</f>
        <v>-946684.27471415326</v>
      </c>
      <c r="U232" s="14"/>
      <c r="V232" s="33">
        <f>IF(T$12=0,0,T232/T$12)</f>
        <v>-0.11555067637560969</v>
      </c>
      <c r="W232" s="16"/>
      <c r="X232" s="31">
        <f>P232-T232</f>
        <v>76016.21471415204</v>
      </c>
      <c r="Y232" s="16"/>
      <c r="Z232" s="33">
        <f>IF(T232=0,0,X232/T232)</f>
        <v>-8.0297324825750138E-2</v>
      </c>
    </row>
    <row r="233" spans="1:26" ht="15.75" thickTop="1" x14ac:dyDescent="0.25">
      <c r="A233" s="9"/>
      <c r="B233" s="9"/>
      <c r="C233" s="9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x14ac:dyDescent="0.25">
      <c r="A234" s="9"/>
      <c r="B234" s="9"/>
      <c r="C234" s="9"/>
      <c r="D234" s="3"/>
      <c r="E234" s="3"/>
      <c r="F234" s="8"/>
      <c r="G234" s="3"/>
      <c r="H234" s="3"/>
      <c r="I234" s="3"/>
      <c r="J234" s="8"/>
      <c r="K234" s="3"/>
      <c r="L234" s="3"/>
      <c r="M234" s="3"/>
      <c r="N234" s="8"/>
      <c r="P234" s="3"/>
      <c r="Q234" s="3"/>
      <c r="R234" s="8"/>
      <c r="S234" s="3"/>
      <c r="T234" s="3"/>
      <c r="U234" s="3"/>
      <c r="V234" s="8"/>
      <c r="W234" s="3"/>
      <c r="X234" s="3"/>
      <c r="Y234" s="3"/>
      <c r="Z234" s="8"/>
    </row>
    <row r="235" spans="1:26" s="23" customFormat="1" ht="15.75" thickBot="1" x14ac:dyDescent="0.3">
      <c r="A235" s="10"/>
      <c r="B235" s="28" t="s">
        <v>294</v>
      </c>
      <c r="C235" s="28"/>
      <c r="D235" s="34">
        <f>SUM(D232:D234)</f>
        <v>-114602.80999999984</v>
      </c>
      <c r="E235" s="14"/>
      <c r="F235" s="35">
        <f>IF(D$12=0,0,D235/D$12)</f>
        <v>-0.26137204506591244</v>
      </c>
      <c r="G235" s="14"/>
      <c r="H235" s="34">
        <f>SUM(H232:H234)</f>
        <v>-195254.29203097319</v>
      </c>
      <c r="I235" s="14"/>
      <c r="J235" s="35">
        <f>IF(H$12=0,0,H235/H$12)</f>
        <v>-0.41205058884686024</v>
      </c>
      <c r="K235" s="16"/>
      <c r="L235" s="34">
        <f>+D235-H235</f>
        <v>80651.482030973348</v>
      </c>
      <c r="M235" s="16"/>
      <c r="N235" s="35">
        <f>IF(H235=0,0,L235/H235)</f>
        <v>-0.41305868973256477</v>
      </c>
      <c r="O235" s="29"/>
      <c r="P235" s="34">
        <f>SUM(P232:P234)</f>
        <v>-870668.06000000122</v>
      </c>
      <c r="Q235" s="14"/>
      <c r="R235" s="35">
        <f>IF(P$12=0,0,P235/P$12)</f>
        <v>-0.18514455016412915</v>
      </c>
      <c r="S235" s="14"/>
      <c r="T235" s="34">
        <f>SUM(T232:T234)</f>
        <v>-946684.27471415326</v>
      </c>
      <c r="U235" s="14"/>
      <c r="V235" s="35">
        <f>IF(T$12=0,0,T235/T$12)</f>
        <v>-0.11555067637560969</v>
      </c>
      <c r="W235" s="16"/>
      <c r="X235" s="34">
        <f>+P235-T235</f>
        <v>76016.21471415204</v>
      </c>
      <c r="Y235" s="16"/>
      <c r="Z235" s="35">
        <f>IF(T235=0,0,X235/T235)</f>
        <v>-8.0297324825750138E-2</v>
      </c>
    </row>
    <row r="236" spans="1:26" ht="15.75" thickTop="1" x14ac:dyDescent="0.25">
      <c r="A236" s="9"/>
      <c r="C236" s="9"/>
      <c r="D236" s="18"/>
      <c r="E236" s="18"/>
      <c r="G236" s="18"/>
      <c r="H236" s="18"/>
      <c r="I236" s="18"/>
      <c r="J236" s="43"/>
      <c r="K236" s="18"/>
      <c r="L236" s="18"/>
      <c r="M236" s="18"/>
      <c r="P236" s="18"/>
      <c r="Q236" s="18"/>
      <c r="R236" s="43"/>
      <c r="S236" s="18"/>
      <c r="T236" s="18"/>
      <c r="U236" s="18"/>
      <c r="V236" s="43"/>
      <c r="W236" s="18"/>
      <c r="X236" s="18"/>
    </row>
    <row r="237" spans="1:26" x14ac:dyDescent="0.25">
      <c r="A237" s="9"/>
      <c r="B237" s="62">
        <v>44330.005792557873</v>
      </c>
      <c r="D237" s="18"/>
      <c r="E237" s="18"/>
      <c r="G237" s="18"/>
      <c r="H237" s="18"/>
      <c r="I237" s="18"/>
      <c r="J237" s="43"/>
      <c r="K237" s="18"/>
      <c r="L237" s="18"/>
      <c r="M237" s="18"/>
      <c r="P237" s="18"/>
      <c r="Q237" s="18"/>
      <c r="R237" s="43"/>
      <c r="S237" s="18"/>
      <c r="T237" s="18"/>
      <c r="U237" s="18"/>
      <c r="V237" s="43"/>
      <c r="W237" s="18"/>
      <c r="X237" s="18"/>
    </row>
    <row r="238" spans="1:26" x14ac:dyDescent="0.25">
      <c r="A238" s="9"/>
      <c r="B238" s="56" t="s">
        <v>56</v>
      </c>
      <c r="D238" s="18"/>
      <c r="E238" s="18"/>
      <c r="G238" s="18"/>
      <c r="H238" s="18"/>
      <c r="I238" s="18"/>
      <c r="J238" s="43"/>
      <c r="K238" s="18"/>
      <c r="L238" s="18"/>
      <c r="M238" s="18"/>
      <c r="P238" s="18"/>
      <c r="Q238" s="18"/>
      <c r="R238" s="43"/>
      <c r="S238" s="18"/>
      <c r="T238" s="18"/>
      <c r="U238" s="18"/>
      <c r="V238" s="43"/>
      <c r="W238" s="18"/>
      <c r="X238" s="18"/>
    </row>
    <row r="239" spans="1:26" x14ac:dyDescent="0.25">
      <c r="A239" s="9"/>
      <c r="B239" s="55"/>
      <c r="D239" s="18"/>
      <c r="E239" s="18"/>
      <c r="G239" s="18"/>
      <c r="H239" s="18"/>
      <c r="I239" s="18"/>
      <c r="J239" s="43"/>
      <c r="K239" s="18"/>
      <c r="L239" s="18"/>
      <c r="M239" s="18"/>
      <c r="P239" s="18"/>
      <c r="Q239" s="18"/>
      <c r="R239" s="43"/>
      <c r="S239" s="18"/>
      <c r="T239" s="18"/>
      <c r="U239" s="18"/>
      <c r="V239" s="43"/>
      <c r="W239" s="18"/>
      <c r="X239" s="18"/>
    </row>
    <row r="240" spans="1:26" x14ac:dyDescent="0.25">
      <c r="D240" s="18"/>
      <c r="E240" s="18"/>
      <c r="G240" s="18"/>
      <c r="H240" s="18"/>
      <c r="I240" s="18"/>
      <c r="J240" s="43"/>
      <c r="K240" s="18"/>
      <c r="L240" s="18"/>
      <c r="M240" s="18"/>
      <c r="P240" s="18"/>
      <c r="Q240" s="18"/>
      <c r="R240" s="43"/>
      <c r="S240" s="18"/>
      <c r="T240" s="18"/>
      <c r="U240" s="18"/>
      <c r="V240" s="43"/>
      <c r="W240" s="18"/>
      <c r="X240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313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6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314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841693.65</v>
      </c>
      <c r="E12" s="4"/>
      <c r="F12" s="12"/>
      <c r="G12" s="4"/>
      <c r="H12" s="4">
        <f>SUM(OSRRefH13x_0)</f>
        <v>745101</v>
      </c>
      <c r="I12" s="4"/>
      <c r="J12" s="12"/>
      <c r="K12" s="4"/>
      <c r="L12" s="4">
        <f t="shared" ref="L12:L92" si="0">+D12-H12</f>
        <v>96592.650000000023</v>
      </c>
      <c r="M12" s="4"/>
      <c r="N12" s="12">
        <f t="shared" ref="N12:N92" si="1">IF(H12=0,0,L12/H12)</f>
        <v>0.1296369888109129</v>
      </c>
      <c r="O12" s="10"/>
      <c r="P12" s="4">
        <f>SUM(OSRRefP13x_0)</f>
        <v>7125423.3199999975</v>
      </c>
      <c r="Q12" s="4"/>
      <c r="R12" s="12"/>
      <c r="S12" s="4"/>
      <c r="T12" s="4">
        <f>SUM(OSRRefT13x_0)</f>
        <v>10298550</v>
      </c>
      <c r="U12" s="4"/>
      <c r="V12" s="12"/>
      <c r="W12" s="4"/>
      <c r="X12" s="4">
        <f t="shared" ref="X12:X92" si="2">+P12-T12</f>
        <v>-3173126.6800000025</v>
      </c>
      <c r="Y12" s="4"/>
      <c r="Z12" s="12">
        <f t="shared" ref="Z12:Z92" si="3">IF(T12=0,0,X12/T12)</f>
        <v>-0.30811392671783916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-13346.89</f>
        <v>-13346.89</v>
      </c>
      <c r="E13" s="2"/>
      <c r="F13" s="19"/>
      <c r="G13" s="2"/>
      <c r="H13" s="2">
        <v>660800</v>
      </c>
      <c r="I13" s="2"/>
      <c r="J13" s="19"/>
      <c r="K13" s="2"/>
      <c r="L13" s="2">
        <f t="shared" si="0"/>
        <v>-674146.89</v>
      </c>
      <c r="M13" s="2"/>
      <c r="N13" s="19">
        <f t="shared" si="1"/>
        <v>-1.0201980780871671</v>
      </c>
      <c r="O13" s="11"/>
      <c r="P13" s="2">
        <f>-136003.3</f>
        <v>-136003.29999999999</v>
      </c>
      <c r="Q13" s="2"/>
      <c r="R13" s="19"/>
      <c r="S13" s="2"/>
      <c r="T13" s="2">
        <v>9876037</v>
      </c>
      <c r="U13" s="2"/>
      <c r="V13" s="19"/>
      <c r="W13" s="2"/>
      <c r="X13" s="2">
        <f t="shared" si="2"/>
        <v>-10012040.300000001</v>
      </c>
      <c r="Y13" s="2"/>
      <c r="Z13" s="19">
        <f t="shared" si="3"/>
        <v>-1.0137710399424384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--31347.12</f>
        <v>31347.119999999999</v>
      </c>
      <c r="E14" s="2"/>
      <c r="F14" s="19"/>
      <c r="G14" s="2"/>
      <c r="H14" s="2"/>
      <c r="I14" s="2"/>
      <c r="J14" s="19"/>
      <c r="K14" s="2"/>
      <c r="L14" s="2">
        <f t="shared" si="0"/>
        <v>31347.119999999999</v>
      </c>
      <c r="M14" s="2"/>
      <c r="N14" s="19">
        <f t="shared" si="1"/>
        <v>0</v>
      </c>
      <c r="O14" s="11"/>
      <c r="P14" s="2">
        <f>--1263810.36</f>
        <v>1263810.3600000001</v>
      </c>
      <c r="Q14" s="2"/>
      <c r="R14" s="19"/>
      <c r="S14" s="2"/>
      <c r="T14" s="2"/>
      <c r="U14" s="2"/>
      <c r="V14" s="19"/>
      <c r="W14" s="2"/>
      <c r="X14" s="2">
        <f t="shared" si="2"/>
        <v>1263810.3600000001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--1971.3</f>
        <v>1971.3</v>
      </c>
      <c r="E15" s="2"/>
      <c r="F15" s="19"/>
      <c r="G15" s="2"/>
      <c r="H15" s="2"/>
      <c r="I15" s="2"/>
      <c r="J15" s="19"/>
      <c r="K15" s="2"/>
      <c r="L15" s="2">
        <f t="shared" si="0"/>
        <v>1971.3</v>
      </c>
      <c r="M15" s="2"/>
      <c r="N15" s="19">
        <f t="shared" si="1"/>
        <v>0</v>
      </c>
      <c r="O15" s="11"/>
      <c r="P15" s="2">
        <f>--578768.63</f>
        <v>578768.63</v>
      </c>
      <c r="Q15" s="2"/>
      <c r="R15" s="19"/>
      <c r="S15" s="2"/>
      <c r="T15" s="2"/>
      <c r="U15" s="2"/>
      <c r="V15" s="19"/>
      <c r="W15" s="2"/>
      <c r="X15" s="2">
        <f t="shared" si="2"/>
        <v>578768.63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--20</f>
        <v>20</v>
      </c>
      <c r="E16" s="2"/>
      <c r="F16" s="19"/>
      <c r="G16" s="2"/>
      <c r="H16" s="2"/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1"/>
      <c r="P16" s="2">
        <f>--17997.88</f>
        <v>17997.88</v>
      </c>
      <c r="Q16" s="2"/>
      <c r="R16" s="19"/>
      <c r="S16" s="2"/>
      <c r="T16" s="2"/>
      <c r="U16" s="2"/>
      <c r="V16" s="19"/>
      <c r="W16" s="2"/>
      <c r="X16" s="2">
        <f t="shared" si="2"/>
        <v>17997.88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--61.81</f>
        <v>61.81</v>
      </c>
      <c r="E18" s="2"/>
      <c r="F18" s="19"/>
      <c r="G18" s="2"/>
      <c r="H18" s="2"/>
      <c r="I18" s="2"/>
      <c r="J18" s="19"/>
      <c r="K18" s="2"/>
      <c r="L18" s="2">
        <f t="shared" si="0"/>
        <v>61.81</v>
      </c>
      <c r="M18" s="2"/>
      <c r="N18" s="19">
        <f t="shared" si="1"/>
        <v>0</v>
      </c>
      <c r="O18" s="11"/>
      <c r="P18" s="2">
        <f>--1263.83</f>
        <v>1263.83</v>
      </c>
      <c r="Q18" s="2"/>
      <c r="R18" s="19"/>
      <c r="S18" s="2"/>
      <c r="T18" s="2"/>
      <c r="U18" s="2"/>
      <c r="V18" s="19"/>
      <c r="W18" s="2"/>
      <c r="X18" s="2">
        <f t="shared" si="2"/>
        <v>1263.83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--36.85</f>
        <v>36.85</v>
      </c>
      <c r="E19" s="2"/>
      <c r="F19" s="19"/>
      <c r="G19" s="2"/>
      <c r="H19" s="2"/>
      <c r="I19" s="2"/>
      <c r="J19" s="19"/>
      <c r="K19" s="2"/>
      <c r="L19" s="2">
        <f t="shared" si="0"/>
        <v>36.85</v>
      </c>
      <c r="M19" s="2"/>
      <c r="N19" s="19">
        <f t="shared" si="1"/>
        <v>0</v>
      </c>
      <c r="O19" s="11"/>
      <c r="P19" s="2">
        <f>--484.55</f>
        <v>484.55</v>
      </c>
      <c r="Q19" s="2"/>
      <c r="R19" s="19"/>
      <c r="S19" s="2"/>
      <c r="T19" s="2"/>
      <c r="U19" s="2"/>
      <c r="V19" s="19"/>
      <c r="W19" s="2"/>
      <c r="X19" s="2">
        <f t="shared" si="2"/>
        <v>484.55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--72.96</f>
        <v>72.959999999999994</v>
      </c>
      <c r="E20" s="2"/>
      <c r="F20" s="19"/>
      <c r="G20" s="2"/>
      <c r="H20" s="2"/>
      <c r="I20" s="2"/>
      <c r="J20" s="19"/>
      <c r="K20" s="2"/>
      <c r="L20" s="2">
        <f t="shared" si="0"/>
        <v>72.959999999999994</v>
      </c>
      <c r="M20" s="2"/>
      <c r="N20" s="19">
        <f t="shared" si="1"/>
        <v>0</v>
      </c>
      <c r="O20" s="11"/>
      <c r="P20" s="2">
        <f>--473.1</f>
        <v>473.1</v>
      </c>
      <c r="Q20" s="2"/>
      <c r="R20" s="19"/>
      <c r="S20" s="2"/>
      <c r="T20" s="2"/>
      <c r="U20" s="2"/>
      <c r="V20" s="19"/>
      <c r="W20" s="2"/>
      <c r="X20" s="2">
        <f t="shared" si="2"/>
        <v>473.1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--21.42</f>
        <v>21.42</v>
      </c>
      <c r="E21" s="2"/>
      <c r="F21" s="19"/>
      <c r="G21" s="2"/>
      <c r="H21" s="2"/>
      <c r="I21" s="2"/>
      <c r="J21" s="19"/>
      <c r="K21" s="2"/>
      <c r="L21" s="2">
        <f t="shared" si="0"/>
        <v>21.42</v>
      </c>
      <c r="M21" s="2"/>
      <c r="N21" s="19">
        <f t="shared" si="1"/>
        <v>0</v>
      </c>
      <c r="O21" s="11"/>
      <c r="P21" s="2">
        <f>--486.17</f>
        <v>486.17</v>
      </c>
      <c r="Q21" s="2"/>
      <c r="R21" s="19"/>
      <c r="S21" s="2"/>
      <c r="T21" s="2"/>
      <c r="U21" s="2"/>
      <c r="V21" s="19"/>
      <c r="W21" s="2"/>
      <c r="X21" s="2">
        <f t="shared" si="2"/>
        <v>486.17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--6558.65</f>
        <v>6558.65</v>
      </c>
      <c r="E22" s="2"/>
      <c r="F22" s="19"/>
      <c r="G22" s="2"/>
      <c r="H22" s="2"/>
      <c r="I22" s="2"/>
      <c r="J22" s="19"/>
      <c r="K22" s="2"/>
      <c r="L22" s="2">
        <f t="shared" si="0"/>
        <v>6558.65</v>
      </c>
      <c r="M22" s="2"/>
      <c r="N22" s="19">
        <f t="shared" si="1"/>
        <v>0</v>
      </c>
      <c r="O22" s="11"/>
      <c r="P22" s="2">
        <f>--64070.97</f>
        <v>64070.97</v>
      </c>
      <c r="Q22" s="2"/>
      <c r="R22" s="19"/>
      <c r="S22" s="2"/>
      <c r="T22" s="2"/>
      <c r="U22" s="2"/>
      <c r="V22" s="19"/>
      <c r="W22" s="2"/>
      <c r="X22" s="2">
        <f t="shared" si="2"/>
        <v>64070.97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--2650.79</f>
        <v>2650.79</v>
      </c>
      <c r="E23" s="2"/>
      <c r="F23" s="19"/>
      <c r="G23" s="2"/>
      <c r="H23" s="2"/>
      <c r="I23" s="2"/>
      <c r="J23" s="19"/>
      <c r="K23" s="2"/>
      <c r="L23" s="2">
        <f t="shared" si="0"/>
        <v>2650.79</v>
      </c>
      <c r="M23" s="2"/>
      <c r="N23" s="19">
        <f t="shared" si="1"/>
        <v>0</v>
      </c>
      <c r="O23" s="11"/>
      <c r="P23" s="2">
        <f>--46900.17</f>
        <v>46900.17</v>
      </c>
      <c r="Q23" s="2"/>
      <c r="R23" s="19"/>
      <c r="S23" s="2"/>
      <c r="T23" s="2"/>
      <c r="U23" s="2"/>
      <c r="V23" s="19"/>
      <c r="W23" s="2"/>
      <c r="X23" s="2">
        <f t="shared" si="2"/>
        <v>46900.17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--595.72</f>
        <v>595.72</v>
      </c>
      <c r="E24" s="2"/>
      <c r="F24" s="19"/>
      <c r="G24" s="2"/>
      <c r="H24" s="2"/>
      <c r="I24" s="2"/>
      <c r="J24" s="19"/>
      <c r="K24" s="2"/>
      <c r="L24" s="2">
        <f t="shared" si="0"/>
        <v>595.72</v>
      </c>
      <c r="M24" s="2"/>
      <c r="N24" s="19">
        <f t="shared" si="1"/>
        <v>0</v>
      </c>
      <c r="O24" s="11"/>
      <c r="P24" s="2">
        <f>--4210.59</f>
        <v>4210.59</v>
      </c>
      <c r="Q24" s="2"/>
      <c r="R24" s="19"/>
      <c r="S24" s="2"/>
      <c r="T24" s="2"/>
      <c r="U24" s="2"/>
      <c r="V24" s="19"/>
      <c r="W24" s="2"/>
      <c r="X24" s="2">
        <f t="shared" si="2"/>
        <v>4210.59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--159179.58</f>
        <v>159179.57999999999</v>
      </c>
      <c r="E26" s="2"/>
      <c r="F26" s="19"/>
      <c r="G26" s="2"/>
      <c r="H26" s="2"/>
      <c r="I26" s="2"/>
      <c r="J26" s="19"/>
      <c r="K26" s="2"/>
      <c r="L26" s="2">
        <f t="shared" si="0"/>
        <v>159179.57999999999</v>
      </c>
      <c r="M26" s="2"/>
      <c r="N26" s="19">
        <f t="shared" si="1"/>
        <v>0</v>
      </c>
      <c r="O26" s="11"/>
      <c r="P26" s="2">
        <f>--913180.73</f>
        <v>913180.73</v>
      </c>
      <c r="Q26" s="2"/>
      <c r="R26" s="19"/>
      <c r="S26" s="2"/>
      <c r="T26" s="2"/>
      <c r="U26" s="2"/>
      <c r="V26" s="19"/>
      <c r="W26" s="2"/>
      <c r="X26" s="2">
        <f t="shared" si="2"/>
        <v>913180.73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--116440.2</f>
        <v>116440.2</v>
      </c>
      <c r="E27" s="2"/>
      <c r="F27" s="19"/>
      <c r="G27" s="2"/>
      <c r="H27" s="2"/>
      <c r="I27" s="2"/>
      <c r="J27" s="19"/>
      <c r="K27" s="2"/>
      <c r="L27" s="2">
        <f t="shared" si="0"/>
        <v>116440.2</v>
      </c>
      <c r="M27" s="2"/>
      <c r="N27" s="19">
        <f t="shared" si="1"/>
        <v>0</v>
      </c>
      <c r="O27" s="11"/>
      <c r="P27" s="2">
        <f>--440456.98</f>
        <v>440456.98</v>
      </c>
      <c r="Q27" s="2"/>
      <c r="R27" s="19"/>
      <c r="S27" s="2"/>
      <c r="T27" s="2"/>
      <c r="U27" s="2"/>
      <c r="V27" s="19"/>
      <c r="W27" s="2"/>
      <c r="X27" s="2">
        <f t="shared" si="2"/>
        <v>440456.98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--10630.32</f>
        <v>10630.32</v>
      </c>
      <c r="E28" s="2"/>
      <c r="F28" s="19"/>
      <c r="G28" s="2"/>
      <c r="H28" s="2"/>
      <c r="I28" s="2"/>
      <c r="J28" s="19"/>
      <c r="K28" s="2"/>
      <c r="L28" s="2">
        <f t="shared" si="0"/>
        <v>10630.32</v>
      </c>
      <c r="M28" s="2"/>
      <c r="N28" s="19">
        <f t="shared" si="1"/>
        <v>0</v>
      </c>
      <c r="O28" s="11"/>
      <c r="P28" s="2">
        <f>--100678.52</f>
        <v>100678.52</v>
      </c>
      <c r="Q28" s="2"/>
      <c r="R28" s="19"/>
      <c r="S28" s="2"/>
      <c r="T28" s="2"/>
      <c r="U28" s="2"/>
      <c r="V28" s="19"/>
      <c r="W28" s="2"/>
      <c r="X28" s="2">
        <f t="shared" si="2"/>
        <v>100678.52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--4423.21</f>
        <v>4423.21</v>
      </c>
      <c r="E29" s="2"/>
      <c r="F29" s="19"/>
      <c r="G29" s="2"/>
      <c r="H29" s="2"/>
      <c r="I29" s="2"/>
      <c r="J29" s="19"/>
      <c r="K29" s="2"/>
      <c r="L29" s="2">
        <f t="shared" si="0"/>
        <v>4423.21</v>
      </c>
      <c r="M29" s="2"/>
      <c r="N29" s="19">
        <f t="shared" si="1"/>
        <v>0</v>
      </c>
      <c r="O29" s="11"/>
      <c r="P29" s="2">
        <f>--136859.38</f>
        <v>136859.38</v>
      </c>
      <c r="Q29" s="2"/>
      <c r="R29" s="19"/>
      <c r="S29" s="2"/>
      <c r="T29" s="2"/>
      <c r="U29" s="2"/>
      <c r="V29" s="19"/>
      <c r="W29" s="2"/>
      <c r="X29" s="2">
        <f t="shared" si="2"/>
        <v>136859.38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--4745.38</f>
        <v>4745.38</v>
      </c>
      <c r="E30" s="2"/>
      <c r="F30" s="19"/>
      <c r="G30" s="2"/>
      <c r="H30" s="2"/>
      <c r="I30" s="2"/>
      <c r="J30" s="19"/>
      <c r="K30" s="2"/>
      <c r="L30" s="2">
        <f t="shared" si="0"/>
        <v>4745.38</v>
      </c>
      <c r="M30" s="2"/>
      <c r="N30" s="19">
        <f t="shared" si="1"/>
        <v>0</v>
      </c>
      <c r="O30" s="11"/>
      <c r="P30" s="2">
        <f>--36092.23</f>
        <v>36092.230000000003</v>
      </c>
      <c r="Q30" s="2"/>
      <c r="R30" s="19"/>
      <c r="S30" s="2"/>
      <c r="T30" s="2"/>
      <c r="U30" s="2"/>
      <c r="V30" s="19"/>
      <c r="W30" s="2"/>
      <c r="X30" s="2">
        <f t="shared" si="2"/>
        <v>36092.230000000003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--63044.9</f>
        <v>63044.9</v>
      </c>
      <c r="E31" s="2"/>
      <c r="F31" s="19"/>
      <c r="G31" s="2"/>
      <c r="H31" s="2"/>
      <c r="I31" s="2"/>
      <c r="J31" s="19"/>
      <c r="K31" s="2"/>
      <c r="L31" s="2">
        <f t="shared" si="0"/>
        <v>63044.9</v>
      </c>
      <c r="M31" s="2"/>
      <c r="N31" s="19">
        <f t="shared" si="1"/>
        <v>0</v>
      </c>
      <c r="O31" s="11"/>
      <c r="P31" s="2">
        <f>--207242.34</f>
        <v>207242.34</v>
      </c>
      <c r="Q31" s="2"/>
      <c r="R31" s="19"/>
      <c r="S31" s="2"/>
      <c r="T31" s="2"/>
      <c r="U31" s="2"/>
      <c r="V31" s="19"/>
      <c r="W31" s="2"/>
      <c r="X31" s="2">
        <f t="shared" si="2"/>
        <v>207242.34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>--1628.82</f>
        <v>1628.82</v>
      </c>
      <c r="E32" s="2"/>
      <c r="F32" s="19"/>
      <c r="G32" s="2"/>
      <c r="H32" s="2"/>
      <c r="I32" s="2"/>
      <c r="J32" s="19"/>
      <c r="K32" s="2"/>
      <c r="L32" s="2">
        <f t="shared" si="0"/>
        <v>1628.82</v>
      </c>
      <c r="M32" s="2"/>
      <c r="N32" s="19">
        <f t="shared" si="1"/>
        <v>0</v>
      </c>
      <c r="O32" s="11"/>
      <c r="P32" s="2">
        <f>--62168.02</f>
        <v>62168.02</v>
      </c>
      <c r="Q32" s="2"/>
      <c r="R32" s="19"/>
      <c r="S32" s="2"/>
      <c r="T32" s="2"/>
      <c r="U32" s="2"/>
      <c r="V32" s="19"/>
      <c r="W32" s="2"/>
      <c r="X32" s="2">
        <f t="shared" si="2"/>
        <v>62168.02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--354181.27</f>
        <v>354181.27</v>
      </c>
      <c r="E33" s="2"/>
      <c r="F33" s="19"/>
      <c r="G33" s="2"/>
      <c r="H33" s="2"/>
      <c r="I33" s="2"/>
      <c r="J33" s="19"/>
      <c r="K33" s="2"/>
      <c r="L33" s="2">
        <f t="shared" si="0"/>
        <v>354181.27</v>
      </c>
      <c r="M33" s="2"/>
      <c r="N33" s="19">
        <f t="shared" si="1"/>
        <v>0</v>
      </c>
      <c r="O33" s="11"/>
      <c r="P33" s="2">
        <f>--2012047.63</f>
        <v>2012047.63</v>
      </c>
      <c r="Q33" s="2"/>
      <c r="R33" s="19"/>
      <c r="S33" s="2"/>
      <c r="T33" s="2"/>
      <c r="U33" s="2"/>
      <c r="V33" s="19"/>
      <c r="W33" s="2"/>
      <c r="X33" s="2">
        <f t="shared" si="2"/>
        <v>2012047.63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--7273.67</f>
        <v>7273.67</v>
      </c>
      <c r="E34" s="2"/>
      <c r="F34" s="19"/>
      <c r="G34" s="2"/>
      <c r="H34" s="2"/>
      <c r="I34" s="2"/>
      <c r="J34" s="19"/>
      <c r="K34" s="2"/>
      <c r="L34" s="2">
        <f t="shared" si="0"/>
        <v>7273.67</v>
      </c>
      <c r="M34" s="2"/>
      <c r="N34" s="19">
        <f t="shared" si="1"/>
        <v>0</v>
      </c>
      <c r="O34" s="11"/>
      <c r="P34" s="2">
        <f>--126942.93</f>
        <v>126942.93</v>
      </c>
      <c r="Q34" s="2"/>
      <c r="R34" s="19"/>
      <c r="S34" s="2"/>
      <c r="T34" s="2"/>
      <c r="U34" s="2"/>
      <c r="V34" s="19"/>
      <c r="W34" s="2"/>
      <c r="X34" s="2">
        <f t="shared" si="2"/>
        <v>126942.93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>--1771.88</f>
        <v>1771.88</v>
      </c>
      <c r="E35" s="2"/>
      <c r="F35" s="19"/>
      <c r="G35" s="2"/>
      <c r="H35" s="2"/>
      <c r="I35" s="2"/>
      <c r="J35" s="19"/>
      <c r="K35" s="2"/>
      <c r="L35" s="2">
        <f t="shared" si="0"/>
        <v>1771.88</v>
      </c>
      <c r="M35" s="2"/>
      <c r="N35" s="19">
        <f t="shared" si="1"/>
        <v>0</v>
      </c>
      <c r="O35" s="11"/>
      <c r="P35" s="2">
        <f>--4870.79</f>
        <v>4870.79</v>
      </c>
      <c r="Q35" s="2"/>
      <c r="R35" s="19"/>
      <c r="S35" s="2"/>
      <c r="T35" s="2"/>
      <c r="U35" s="2"/>
      <c r="V35" s="19"/>
      <c r="W35" s="2"/>
      <c r="X35" s="2">
        <f t="shared" si="2"/>
        <v>4870.79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--5818.73</f>
        <v>5818.73</v>
      </c>
      <c r="E36" s="2"/>
      <c r="F36" s="19"/>
      <c r="G36" s="2"/>
      <c r="H36" s="2"/>
      <c r="I36" s="2"/>
      <c r="J36" s="19"/>
      <c r="K36" s="2"/>
      <c r="L36" s="2">
        <f t="shared" si="0"/>
        <v>5818.73</v>
      </c>
      <c r="M36" s="2"/>
      <c r="N36" s="19">
        <f t="shared" si="1"/>
        <v>0</v>
      </c>
      <c r="O36" s="11"/>
      <c r="P36" s="2">
        <f>--65269.63</f>
        <v>65269.63</v>
      </c>
      <c r="Q36" s="2"/>
      <c r="R36" s="19"/>
      <c r="S36" s="2"/>
      <c r="T36" s="2"/>
      <c r="U36" s="2"/>
      <c r="V36" s="19"/>
      <c r="W36" s="2"/>
      <c r="X36" s="2">
        <f t="shared" si="2"/>
        <v>65269.63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"4095", " - ", "TAXABLE SALES-CUSTOMER SERVICE")</f>
        <v xml:space="preserve">          4095 - TAXABLE SALES-CUSTOMER SERVICE</v>
      </c>
      <c r="C37" s="11"/>
      <c r="D37" s="2">
        <f>--2119.46</f>
        <v>2119.46</v>
      </c>
      <c r="E37" s="2"/>
      <c r="F37" s="19"/>
      <c r="G37" s="2"/>
      <c r="H37" s="2"/>
      <c r="I37" s="2"/>
      <c r="J37" s="19"/>
      <c r="K37" s="2"/>
      <c r="L37" s="2">
        <f t="shared" si="0"/>
        <v>2119.46</v>
      </c>
      <c r="M37" s="2"/>
      <c r="N37" s="19">
        <f t="shared" si="1"/>
        <v>0</v>
      </c>
      <c r="O37" s="11"/>
      <c r="P37" s="2">
        <f>--3034.59</f>
        <v>3034.59</v>
      </c>
      <c r="Q37" s="2"/>
      <c r="R37" s="19"/>
      <c r="S37" s="2"/>
      <c r="T37" s="2"/>
      <c r="U37" s="2"/>
      <c r="V37" s="19"/>
      <c r="W37" s="2"/>
      <c r="X37" s="2">
        <f t="shared" si="2"/>
        <v>3034.59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"4100", " - ", "NON-TAXABLE SALES")</f>
        <v xml:space="preserve">          4100 - NON-TAXABLE SALES</v>
      </c>
      <c r="C38" s="11"/>
      <c r="D38" s="2">
        <f>-12385.33</f>
        <v>-12385.33</v>
      </c>
      <c r="E38" s="2"/>
      <c r="F38" s="19"/>
      <c r="G38" s="2"/>
      <c r="H38" s="2">
        <v>84301</v>
      </c>
      <c r="I38" s="2"/>
      <c r="J38" s="19"/>
      <c r="K38" s="2"/>
      <c r="L38" s="2">
        <f t="shared" si="0"/>
        <v>-96686.33</v>
      </c>
      <c r="M38" s="2"/>
      <c r="N38" s="19">
        <f t="shared" si="1"/>
        <v>-1.1469179487787808</v>
      </c>
      <c r="O38" s="11"/>
      <c r="P38" s="2">
        <f>--273838.77</f>
        <v>273838.77</v>
      </c>
      <c r="Q38" s="2"/>
      <c r="R38" s="19"/>
      <c r="S38" s="2"/>
      <c r="T38" s="2">
        <v>422513</v>
      </c>
      <c r="U38" s="2"/>
      <c r="V38" s="19"/>
      <c r="W38" s="2"/>
      <c r="X38" s="2">
        <f t="shared" si="2"/>
        <v>-148674.22999999998</v>
      </c>
      <c r="Y38" s="2"/>
      <c r="Z38" s="19">
        <f t="shared" si="3"/>
        <v>-0.35188084153623672</v>
      </c>
    </row>
    <row r="39" spans="1:26" s="24" customFormat="1" hidden="1" outlineLevel="1" x14ac:dyDescent="0.25">
      <c r="A39" s="44"/>
      <c r="B39" s="11" t="str">
        <f>CONCATENATE("          ", "4101", " - ", "NON-TAXABLE SALES-NEW TEXT")</f>
        <v xml:space="preserve">          4101 - NON-TAXABLE SALES-NEW TEXT</v>
      </c>
      <c r="C39" s="11"/>
      <c r="D39" s="2">
        <f>--741.03</f>
        <v>741.03</v>
      </c>
      <c r="E39" s="2"/>
      <c r="F39" s="19"/>
      <c r="G39" s="2"/>
      <c r="H39" s="2"/>
      <c r="I39" s="2"/>
      <c r="J39" s="19"/>
      <c r="K39" s="2"/>
      <c r="L39" s="2">
        <f t="shared" si="0"/>
        <v>741.03</v>
      </c>
      <c r="M39" s="2"/>
      <c r="N39" s="19">
        <f t="shared" si="1"/>
        <v>0</v>
      </c>
      <c r="O39" s="11"/>
      <c r="P39" s="2">
        <f>--112796.74</f>
        <v>112796.74</v>
      </c>
      <c r="Q39" s="2"/>
      <c r="R39" s="19"/>
      <c r="S39" s="2"/>
      <c r="T39" s="2"/>
      <c r="U39" s="2"/>
      <c r="V39" s="19"/>
      <c r="W39" s="2"/>
      <c r="X39" s="2">
        <f t="shared" si="2"/>
        <v>112796.74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"4102", " - ", "NON-TAXABLE SALES-USED TEXT")</f>
        <v xml:space="preserve">          4102 - NON-TAXABLE SALES-USED TEXT</v>
      </c>
      <c r="C40" s="11"/>
      <c r="D40" s="2">
        <f>--743.99</f>
        <v>743.99</v>
      </c>
      <c r="E40" s="2"/>
      <c r="F40" s="19"/>
      <c r="G40" s="2"/>
      <c r="H40" s="2"/>
      <c r="I40" s="2"/>
      <c r="J40" s="19"/>
      <c r="K40" s="2"/>
      <c r="L40" s="2">
        <f t="shared" si="0"/>
        <v>743.99</v>
      </c>
      <c r="M40" s="2"/>
      <c r="N40" s="19">
        <f t="shared" si="1"/>
        <v>0</v>
      </c>
      <c r="O40" s="11"/>
      <c r="P40" s="2">
        <f>--48703.42</f>
        <v>48703.42</v>
      </c>
      <c r="Q40" s="2"/>
      <c r="R40" s="19"/>
      <c r="S40" s="2"/>
      <c r="T40" s="2"/>
      <c r="U40" s="2"/>
      <c r="V40" s="19"/>
      <c r="W40" s="2"/>
      <c r="X40" s="2">
        <f t="shared" si="2"/>
        <v>48703.42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"4103", " - ", "NON-TAXABLE SALES-RENTAL TEXT")</f>
        <v xml:space="preserve">          4103 - NON-TAXABLE SALES-RENTAL TEXT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--1138.95</f>
        <v>1138.95</v>
      </c>
      <c r="Q41" s="2"/>
      <c r="R41" s="19"/>
      <c r="S41" s="2"/>
      <c r="T41" s="2"/>
      <c r="U41" s="2"/>
      <c r="V41" s="19"/>
      <c r="W41" s="2"/>
      <c r="X41" s="2">
        <f t="shared" si="2"/>
        <v>1138.95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"4104", " - ", "NON-TAXABLE SALES-DIGITAL TEXT")</f>
        <v xml:space="preserve">          4104 - NON-TAXABLE SALES-DIGITAL TEXT</v>
      </c>
      <c r="C42" s="11"/>
      <c r="D42" s="2">
        <f>--3431.99</f>
        <v>3431.99</v>
      </c>
      <c r="E42" s="2"/>
      <c r="F42" s="19"/>
      <c r="G42" s="2"/>
      <c r="H42" s="2"/>
      <c r="I42" s="2"/>
      <c r="J42" s="19"/>
      <c r="K42" s="2"/>
      <c r="L42" s="2">
        <f t="shared" si="0"/>
        <v>3431.99</v>
      </c>
      <c r="M42" s="2"/>
      <c r="N42" s="19">
        <f t="shared" si="1"/>
        <v>0</v>
      </c>
      <c r="O42" s="11"/>
      <c r="P42" s="2">
        <f>--480403.17</f>
        <v>480403.17</v>
      </c>
      <c r="Q42" s="2"/>
      <c r="R42" s="19"/>
      <c r="S42" s="2"/>
      <c r="T42" s="2"/>
      <c r="U42" s="2"/>
      <c r="V42" s="19"/>
      <c r="W42" s="2"/>
      <c r="X42" s="2">
        <f t="shared" si="2"/>
        <v>480403.17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"4113", " - ", "NON-TAXABLE SALES-TRADE BOOKS")</f>
        <v xml:space="preserve">          4113 - NON-TAXABLE SALES-TRADE BOOKS</v>
      </c>
      <c r="C43" s="11"/>
      <c r="D43" s="2">
        <f>--738</f>
        <v>738</v>
      </c>
      <c r="E43" s="2"/>
      <c r="F43" s="19"/>
      <c r="G43" s="2"/>
      <c r="H43" s="2"/>
      <c r="I43" s="2"/>
      <c r="J43" s="19"/>
      <c r="K43" s="2"/>
      <c r="L43" s="2">
        <f t="shared" si="0"/>
        <v>738</v>
      </c>
      <c r="M43" s="2"/>
      <c r="N43" s="19">
        <f t="shared" si="1"/>
        <v>0</v>
      </c>
      <c r="O43" s="11"/>
      <c r="P43" s="2">
        <f>--12127.25</f>
        <v>12127.25</v>
      </c>
      <c r="Q43" s="2"/>
      <c r="R43" s="19"/>
      <c r="S43" s="2"/>
      <c r="T43" s="2"/>
      <c r="U43" s="2"/>
      <c r="V43" s="19"/>
      <c r="W43" s="2"/>
      <c r="X43" s="2">
        <f t="shared" si="2"/>
        <v>12127.25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"4118", " - ", "NON-TAXABLE SALES-STUDY GUIDES")</f>
        <v xml:space="preserve">          4118 - NON-TAXABLE SALES-STUDY GUIDES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--771.73</f>
        <v>771.73</v>
      </c>
      <c r="Q44" s="2"/>
      <c r="R44" s="19"/>
      <c r="S44" s="2"/>
      <c r="T44" s="2"/>
      <c r="U44" s="2"/>
      <c r="V44" s="19"/>
      <c r="W44" s="2"/>
      <c r="X44" s="2">
        <f t="shared" si="2"/>
        <v>771.73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"4126", " - ", "NON-TAXABLE SALES-WRITING INST")</f>
        <v xml:space="preserve">          4126 - NON-TAXABLE SALES-WRITING INST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--52.68</f>
        <v>52.68</v>
      </c>
      <c r="Q45" s="2"/>
      <c r="R45" s="19"/>
      <c r="S45" s="2"/>
      <c r="T45" s="2"/>
      <c r="U45" s="2"/>
      <c r="V45" s="19"/>
      <c r="W45" s="2"/>
      <c r="X45" s="2">
        <f t="shared" si="2"/>
        <v>52.68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"4127", " - ", "NON-TAXABLE SALES-SCHOOL SUPPL")</f>
        <v xml:space="preserve">          4127 - NON-TAXABLE SALES-SCHOOL SUPPL</v>
      </c>
      <c r="C46" s="11"/>
      <c r="D46" s="2">
        <f>--493.37</f>
        <v>493.37</v>
      </c>
      <c r="E46" s="2"/>
      <c r="F46" s="19"/>
      <c r="G46" s="2"/>
      <c r="H46" s="2"/>
      <c r="I46" s="2"/>
      <c r="J46" s="19"/>
      <c r="K46" s="2"/>
      <c r="L46" s="2">
        <f t="shared" si="0"/>
        <v>493.37</v>
      </c>
      <c r="M46" s="2"/>
      <c r="N46" s="19">
        <f t="shared" si="1"/>
        <v>0</v>
      </c>
      <c r="O46" s="11"/>
      <c r="P46" s="2">
        <f>--7100.68</f>
        <v>7100.68</v>
      </c>
      <c r="Q46" s="2"/>
      <c r="R46" s="19"/>
      <c r="S46" s="2"/>
      <c r="T46" s="2"/>
      <c r="U46" s="2"/>
      <c r="V46" s="19"/>
      <c r="W46" s="2"/>
      <c r="X46" s="2">
        <f t="shared" si="2"/>
        <v>7100.68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"4128", " - ", "NON-TAXABLE SALES-ART/TECH")</f>
        <v xml:space="preserve">          4128 - NON-TAXABLE SALES-ART/TECH</v>
      </c>
      <c r="C47" s="11"/>
      <c r="D47" s="2">
        <f>--31.37</f>
        <v>31.37</v>
      </c>
      <c r="E47" s="2"/>
      <c r="F47" s="19"/>
      <c r="G47" s="2"/>
      <c r="H47" s="2"/>
      <c r="I47" s="2"/>
      <c r="J47" s="19"/>
      <c r="K47" s="2"/>
      <c r="L47" s="2">
        <f t="shared" si="0"/>
        <v>31.37</v>
      </c>
      <c r="M47" s="2"/>
      <c r="N47" s="19">
        <f t="shared" si="1"/>
        <v>0</v>
      </c>
      <c r="O47" s="11"/>
      <c r="P47" s="2">
        <f>--69.95</f>
        <v>69.95</v>
      </c>
      <c r="Q47" s="2"/>
      <c r="R47" s="19"/>
      <c r="S47" s="2"/>
      <c r="T47" s="2"/>
      <c r="U47" s="2"/>
      <c r="V47" s="19"/>
      <c r="W47" s="2"/>
      <c r="X47" s="2">
        <f t="shared" si="2"/>
        <v>69.95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"4131", " - ", "NON-TAXABLE SALES-FOOD")</f>
        <v xml:space="preserve">          4131 - NON-TAXABLE SALES-FOOD</v>
      </c>
      <c r="C48" s="11"/>
      <c r="D48" s="2">
        <f>--975.93</f>
        <v>975.93</v>
      </c>
      <c r="E48" s="2"/>
      <c r="F48" s="19"/>
      <c r="G48" s="2"/>
      <c r="H48" s="2"/>
      <c r="I48" s="2"/>
      <c r="J48" s="19"/>
      <c r="K48" s="2"/>
      <c r="L48" s="2">
        <f t="shared" si="0"/>
        <v>975.93</v>
      </c>
      <c r="M48" s="2"/>
      <c r="N48" s="19">
        <f t="shared" si="1"/>
        <v>0</v>
      </c>
      <c r="O48" s="11"/>
      <c r="P48" s="2">
        <f>--11380.36</f>
        <v>11380.36</v>
      </c>
      <c r="Q48" s="2"/>
      <c r="R48" s="19"/>
      <c r="S48" s="2"/>
      <c r="T48" s="2"/>
      <c r="U48" s="2"/>
      <c r="V48" s="19"/>
      <c r="W48" s="2"/>
      <c r="X48" s="2">
        <f t="shared" si="2"/>
        <v>11380.36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"4132", " - ", "NON-TAXABLE SALES-JUICE")</f>
        <v xml:space="preserve">          4132 - NON-TAXABLE SALES-JUICE</v>
      </c>
      <c r="C49" s="11"/>
      <c r="D49" s="2">
        <f t="shared" ref="D49:D52" si="5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--22.49</f>
        <v>22.49</v>
      </c>
      <c r="Q49" s="2"/>
      <c r="R49" s="19"/>
      <c r="S49" s="2"/>
      <c r="T49" s="2"/>
      <c r="U49" s="2"/>
      <c r="V49" s="19"/>
      <c r="W49" s="2"/>
      <c r="X49" s="2">
        <f t="shared" si="2"/>
        <v>22.49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"4133", " - ", "NON-TAXABLE SALES-CANDY")</f>
        <v xml:space="preserve">          4133 - NON-TAXABLE SALES-CANDY</v>
      </c>
      <c r="C50" s="11"/>
      <c r="D50" s="2">
        <f t="shared" si="5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--80.71</f>
        <v>80.709999999999994</v>
      </c>
      <c r="Q50" s="2"/>
      <c r="R50" s="19"/>
      <c r="S50" s="2"/>
      <c r="T50" s="2"/>
      <c r="U50" s="2"/>
      <c r="V50" s="19"/>
      <c r="W50" s="2"/>
      <c r="X50" s="2">
        <f t="shared" si="2"/>
        <v>80.709999999999994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"4134", " - ", "NON-TAXABLE SALES-SODA")</f>
        <v xml:space="preserve">          4134 - NON-TAXABLE SALES-SODA</v>
      </c>
      <c r="C51" s="11"/>
      <c r="D51" s="2">
        <f t="shared" si="5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--45.53</f>
        <v>45.53</v>
      </c>
      <c r="Q51" s="2"/>
      <c r="R51" s="19"/>
      <c r="S51" s="2"/>
      <c r="T51" s="2"/>
      <c r="U51" s="2"/>
      <c r="V51" s="19"/>
      <c r="W51" s="2"/>
      <c r="X51" s="2">
        <f t="shared" si="2"/>
        <v>45.53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5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--68.25</f>
        <v>68.25</v>
      </c>
      <c r="Q52" s="2"/>
      <c r="R52" s="19"/>
      <c r="S52" s="2"/>
      <c r="T52" s="2"/>
      <c r="U52" s="2"/>
      <c r="V52" s="19"/>
      <c r="W52" s="2"/>
      <c r="X52" s="2">
        <f t="shared" si="2"/>
        <v>68.25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>--23040.7</f>
        <v>23040.7</v>
      </c>
      <c r="E53" s="2"/>
      <c r="F53" s="19"/>
      <c r="G53" s="2"/>
      <c r="H53" s="2"/>
      <c r="I53" s="2"/>
      <c r="J53" s="19"/>
      <c r="K53" s="2"/>
      <c r="L53" s="2">
        <f t="shared" si="0"/>
        <v>23040.7</v>
      </c>
      <c r="M53" s="2"/>
      <c r="N53" s="19">
        <f t="shared" si="1"/>
        <v>0</v>
      </c>
      <c r="O53" s="11"/>
      <c r="P53" s="2">
        <f>--154792.39</f>
        <v>154792.39000000001</v>
      </c>
      <c r="Q53" s="2"/>
      <c r="R53" s="19"/>
      <c r="S53" s="2"/>
      <c r="T53" s="2"/>
      <c r="U53" s="2"/>
      <c r="V53" s="19"/>
      <c r="W53" s="2"/>
      <c r="X53" s="2">
        <f t="shared" si="2"/>
        <v>154792.39000000001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--27228.57</f>
        <v>27228.57</v>
      </c>
      <c r="E54" s="2"/>
      <c r="F54" s="19"/>
      <c r="G54" s="2"/>
      <c r="H54" s="2"/>
      <c r="I54" s="2"/>
      <c r="J54" s="19"/>
      <c r="K54" s="2"/>
      <c r="L54" s="2">
        <f t="shared" si="0"/>
        <v>27228.57</v>
      </c>
      <c r="M54" s="2"/>
      <c r="N54" s="19">
        <f t="shared" si="1"/>
        <v>0</v>
      </c>
      <c r="O54" s="11"/>
      <c r="P54" s="2">
        <f>--36796.81</f>
        <v>36796.81</v>
      </c>
      <c r="Q54" s="2"/>
      <c r="R54" s="19"/>
      <c r="S54" s="2"/>
      <c r="T54" s="2"/>
      <c r="U54" s="2"/>
      <c r="V54" s="19"/>
      <c r="W54" s="2"/>
      <c r="X54" s="2">
        <f t="shared" si="2"/>
        <v>36796.81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>--306.73</f>
        <v>306.73</v>
      </c>
      <c r="E55" s="2"/>
      <c r="F55" s="19"/>
      <c r="G55" s="2"/>
      <c r="H55" s="2"/>
      <c r="I55" s="2"/>
      <c r="J55" s="19"/>
      <c r="K55" s="2"/>
      <c r="L55" s="2">
        <f t="shared" si="0"/>
        <v>306.73</v>
      </c>
      <c r="M55" s="2"/>
      <c r="N55" s="19">
        <f t="shared" si="1"/>
        <v>0</v>
      </c>
      <c r="O55" s="11"/>
      <c r="P55" s="2">
        <f>--2588.1</f>
        <v>2588.1</v>
      </c>
      <c r="Q55" s="2"/>
      <c r="R55" s="19"/>
      <c r="S55" s="2"/>
      <c r="T55" s="2"/>
      <c r="U55" s="2"/>
      <c r="V55" s="19"/>
      <c r="W55" s="2"/>
      <c r="X55" s="2">
        <f t="shared" si="2"/>
        <v>2588.1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"4143", " - ", "NON-TAXABLE SALES-CARDS")</f>
        <v xml:space="preserve">          4143 - NON-TAXABLE SALES-CARDS</v>
      </c>
      <c r="C56" s="11"/>
      <c r="D56" s="2">
        <f>--49.97</f>
        <v>49.97</v>
      </c>
      <c r="E56" s="2"/>
      <c r="F56" s="19"/>
      <c r="G56" s="2"/>
      <c r="H56" s="2"/>
      <c r="I56" s="2"/>
      <c r="J56" s="19"/>
      <c r="K56" s="2"/>
      <c r="L56" s="2">
        <f t="shared" si="0"/>
        <v>49.97</v>
      </c>
      <c r="M56" s="2"/>
      <c r="N56" s="19">
        <f t="shared" si="1"/>
        <v>0</v>
      </c>
      <c r="O56" s="11"/>
      <c r="P56" s="2">
        <f>--2431.45</f>
        <v>2431.4499999999998</v>
      </c>
      <c r="Q56" s="2"/>
      <c r="R56" s="19"/>
      <c r="S56" s="2"/>
      <c r="T56" s="2"/>
      <c r="U56" s="2"/>
      <c r="V56" s="19"/>
      <c r="W56" s="2"/>
      <c r="X56" s="2">
        <f t="shared" si="2"/>
        <v>2431.4499999999998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>--29.85</f>
        <v>29.85</v>
      </c>
      <c r="E57" s="2"/>
      <c r="F57" s="19"/>
      <c r="G57" s="2"/>
      <c r="H57" s="2"/>
      <c r="I57" s="2"/>
      <c r="J57" s="19"/>
      <c r="K57" s="2"/>
      <c r="L57" s="2">
        <f t="shared" si="0"/>
        <v>29.85</v>
      </c>
      <c r="M57" s="2"/>
      <c r="N57" s="19">
        <f t="shared" si="1"/>
        <v>0</v>
      </c>
      <c r="O57" s="11"/>
      <c r="P57" s="2">
        <f>--709.1</f>
        <v>709.1</v>
      </c>
      <c r="Q57" s="2"/>
      <c r="R57" s="19"/>
      <c r="S57" s="2"/>
      <c r="T57" s="2"/>
      <c r="U57" s="2"/>
      <c r="V57" s="19"/>
      <c r="W57" s="2"/>
      <c r="X57" s="2">
        <f t="shared" si="2"/>
        <v>709.1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>--20350.8</f>
        <v>20350.8</v>
      </c>
      <c r="E58" s="2"/>
      <c r="F58" s="19"/>
      <c r="G58" s="2"/>
      <c r="H58" s="2"/>
      <c r="I58" s="2"/>
      <c r="J58" s="19"/>
      <c r="K58" s="2"/>
      <c r="L58" s="2">
        <f t="shared" si="0"/>
        <v>20350.8</v>
      </c>
      <c r="M58" s="2"/>
      <c r="N58" s="19">
        <f t="shared" si="1"/>
        <v>0</v>
      </c>
      <c r="O58" s="11"/>
      <c r="P58" s="2">
        <f>--74066.89</f>
        <v>74066.89</v>
      </c>
      <c r="Q58" s="2"/>
      <c r="R58" s="19"/>
      <c r="S58" s="2"/>
      <c r="T58" s="2"/>
      <c r="U58" s="2"/>
      <c r="V58" s="19"/>
      <c r="W58" s="2"/>
      <c r="X58" s="2">
        <f t="shared" si="2"/>
        <v>74066.89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--30.2</f>
        <v>30.2</v>
      </c>
      <c r="E59" s="2"/>
      <c r="F59" s="19"/>
      <c r="G59" s="2"/>
      <c r="H59" s="2"/>
      <c r="I59" s="2"/>
      <c r="J59" s="19"/>
      <c r="K59" s="2"/>
      <c r="L59" s="2">
        <f t="shared" si="0"/>
        <v>30.2</v>
      </c>
      <c r="M59" s="2"/>
      <c r="N59" s="19">
        <f t="shared" si="1"/>
        <v>0</v>
      </c>
      <c r="O59" s="11"/>
      <c r="P59" s="2">
        <f>--329.3</f>
        <v>329.3</v>
      </c>
      <c r="Q59" s="2"/>
      <c r="R59" s="19"/>
      <c r="S59" s="2"/>
      <c r="T59" s="2"/>
      <c r="U59" s="2"/>
      <c r="V59" s="19"/>
      <c r="W59" s="2"/>
      <c r="X59" s="2">
        <f t="shared" si="2"/>
        <v>329.3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"4147", " - ", "NON-TAXABLE SALES-MISC")</f>
        <v xml:space="preserve">          4147 - NON-TAXABLE SALES-MISC</v>
      </c>
      <c r="C60" s="11"/>
      <c r="D60" s="2">
        <f>--11</f>
        <v>11</v>
      </c>
      <c r="E60" s="2"/>
      <c r="F60" s="19"/>
      <c r="G60" s="2"/>
      <c r="H60" s="2"/>
      <c r="I60" s="2"/>
      <c r="J60" s="19"/>
      <c r="K60" s="2"/>
      <c r="L60" s="2">
        <f t="shared" si="0"/>
        <v>11</v>
      </c>
      <c r="M60" s="2"/>
      <c r="N60" s="19">
        <f t="shared" si="1"/>
        <v>0</v>
      </c>
      <c r="O60" s="11"/>
      <c r="P60" s="2">
        <f>--154.5</f>
        <v>154.5</v>
      </c>
      <c r="Q60" s="2"/>
      <c r="R60" s="19"/>
      <c r="S60" s="2"/>
      <c r="T60" s="2"/>
      <c r="U60" s="2"/>
      <c r="V60" s="19"/>
      <c r="W60" s="2"/>
      <c r="X60" s="2">
        <f t="shared" si="2"/>
        <v>154.5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"4181", " - ", "NON-TAXABLE SALES-ELECTRONICS")</f>
        <v xml:space="preserve">          4181 - NON-TAXABLE SALES-ELECTRONICS</v>
      </c>
      <c r="C61" s="11"/>
      <c r="D61" s="2">
        <f>--29.99</f>
        <v>29.99</v>
      </c>
      <c r="E61" s="2"/>
      <c r="F61" s="19"/>
      <c r="G61" s="2"/>
      <c r="H61" s="2"/>
      <c r="I61" s="2"/>
      <c r="J61" s="19"/>
      <c r="K61" s="2"/>
      <c r="L61" s="2">
        <f t="shared" si="0"/>
        <v>29.99</v>
      </c>
      <c r="M61" s="2"/>
      <c r="N61" s="19">
        <f t="shared" si="1"/>
        <v>0</v>
      </c>
      <c r="O61" s="11"/>
      <c r="P61" s="2">
        <f>--12508.62</f>
        <v>12508.62</v>
      </c>
      <c r="Q61" s="2"/>
      <c r="R61" s="19"/>
      <c r="S61" s="2"/>
      <c r="T61" s="2"/>
      <c r="U61" s="2"/>
      <c r="V61" s="19"/>
      <c r="W61" s="2"/>
      <c r="X61" s="2">
        <f t="shared" si="2"/>
        <v>12508.62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"4182", " - ", "NON-TAXABLE SALES-COMPUTER HAR")</f>
        <v xml:space="preserve">          4182 - NON-TAXABLE SALES-COMPUTER HAR</v>
      </c>
      <c r="C62" s="11"/>
      <c r="D62" s="2">
        <f>--61075.64</f>
        <v>61075.64</v>
      </c>
      <c r="E62" s="2"/>
      <c r="F62" s="19"/>
      <c r="G62" s="2"/>
      <c r="H62" s="2"/>
      <c r="I62" s="2"/>
      <c r="J62" s="19"/>
      <c r="K62" s="2"/>
      <c r="L62" s="2">
        <f t="shared" si="0"/>
        <v>61075.64</v>
      </c>
      <c r="M62" s="2"/>
      <c r="N62" s="19">
        <f t="shared" si="1"/>
        <v>0</v>
      </c>
      <c r="O62" s="11"/>
      <c r="P62" s="2">
        <f>--314490.47</f>
        <v>314490.46999999997</v>
      </c>
      <c r="Q62" s="2"/>
      <c r="R62" s="19"/>
      <c r="S62" s="2"/>
      <c r="T62" s="2"/>
      <c r="U62" s="2"/>
      <c r="V62" s="19"/>
      <c r="W62" s="2"/>
      <c r="X62" s="2">
        <f t="shared" si="2"/>
        <v>314490.46999999997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"4183", " - ", "NON-TAXABLE SALES-COMPUTER EQU")</f>
        <v xml:space="preserve">          4183 - NON-TAXABLE SALES-COMPUTER EQU</v>
      </c>
      <c r="C63" s="11"/>
      <c r="D63" s="2">
        <f>--2879.59</f>
        <v>2879.59</v>
      </c>
      <c r="E63" s="2"/>
      <c r="F63" s="19"/>
      <c r="G63" s="2"/>
      <c r="H63" s="2"/>
      <c r="I63" s="2"/>
      <c r="J63" s="19"/>
      <c r="K63" s="2"/>
      <c r="L63" s="2">
        <f t="shared" si="0"/>
        <v>2879.59</v>
      </c>
      <c r="M63" s="2"/>
      <c r="N63" s="19">
        <f t="shared" si="1"/>
        <v>0</v>
      </c>
      <c r="O63" s="11"/>
      <c r="P63" s="2">
        <f>--19486.02</f>
        <v>19486.02</v>
      </c>
      <c r="Q63" s="2"/>
      <c r="R63" s="19"/>
      <c r="S63" s="2"/>
      <c r="T63" s="2"/>
      <c r="U63" s="2"/>
      <c r="V63" s="19"/>
      <c r="W63" s="2"/>
      <c r="X63" s="2">
        <f t="shared" si="2"/>
        <v>19486.02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"4185", " - ", "NON-TAXABLE SALES-SOFTWARE")</f>
        <v xml:space="preserve">          4185 - NON-TAXABLE SALES-SOFTWARE</v>
      </c>
      <c r="C64" s="11"/>
      <c r="D64" s="2">
        <f>--11345.61</f>
        <v>11345.61</v>
      </c>
      <c r="E64" s="2"/>
      <c r="F64" s="19"/>
      <c r="G64" s="2"/>
      <c r="H64" s="2"/>
      <c r="I64" s="2"/>
      <c r="J64" s="19"/>
      <c r="K64" s="2"/>
      <c r="L64" s="2">
        <f t="shared" si="0"/>
        <v>11345.61</v>
      </c>
      <c r="M64" s="2"/>
      <c r="N64" s="19">
        <f t="shared" si="1"/>
        <v>0</v>
      </c>
      <c r="O64" s="11"/>
      <c r="P64" s="2">
        <f>--50032.39</f>
        <v>50032.39</v>
      </c>
      <c r="Q64" s="2"/>
      <c r="R64" s="19"/>
      <c r="S64" s="2"/>
      <c r="T64" s="2"/>
      <c r="U64" s="2"/>
      <c r="V64" s="19"/>
      <c r="W64" s="2"/>
      <c r="X64" s="2">
        <f t="shared" si="2"/>
        <v>50032.39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"4186", " - ", "NON-TAXABLE SALES-COMPUTER SUP")</f>
        <v xml:space="preserve">          4186 - NON-TAXABLE SALES-COMPUTER SUP</v>
      </c>
      <c r="C65" s="11"/>
      <c r="D65" s="2">
        <f>--89.97</f>
        <v>89.97</v>
      </c>
      <c r="E65" s="2"/>
      <c r="F65" s="19"/>
      <c r="G65" s="2"/>
      <c r="H65" s="2"/>
      <c r="I65" s="2"/>
      <c r="J65" s="19"/>
      <c r="K65" s="2"/>
      <c r="L65" s="2">
        <f t="shared" si="0"/>
        <v>89.97</v>
      </c>
      <c r="M65" s="2"/>
      <c r="N65" s="19">
        <f t="shared" si="1"/>
        <v>0</v>
      </c>
      <c r="O65" s="11"/>
      <c r="P65" s="2">
        <f>--3345.17</f>
        <v>3345.17</v>
      </c>
      <c r="Q65" s="2"/>
      <c r="R65" s="19"/>
      <c r="S65" s="2"/>
      <c r="T65" s="2"/>
      <c r="U65" s="2"/>
      <c r="V65" s="19"/>
      <c r="W65" s="2"/>
      <c r="X65" s="2">
        <f t="shared" si="2"/>
        <v>3345.17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>-376.85</f>
        <v>-376.85</v>
      </c>
      <c r="E66" s="2"/>
      <c r="F66" s="19"/>
      <c r="G66" s="2"/>
      <c r="H66" s="2"/>
      <c r="I66" s="2"/>
      <c r="J66" s="19"/>
      <c r="K66" s="2"/>
      <c r="L66" s="2">
        <f t="shared" si="0"/>
        <v>-376.85</v>
      </c>
      <c r="M66" s="2"/>
      <c r="N66" s="19">
        <f t="shared" si="1"/>
        <v>0</v>
      </c>
      <c r="O66" s="11"/>
      <c r="P66" s="2">
        <f>-51638.02</f>
        <v>-51638.02</v>
      </c>
      <c r="Q66" s="2"/>
      <c r="R66" s="19"/>
      <c r="S66" s="2"/>
      <c r="T66" s="2"/>
      <c r="U66" s="2"/>
      <c r="V66" s="19"/>
      <c r="W66" s="2"/>
      <c r="X66" s="2">
        <f t="shared" si="2"/>
        <v>-51638.02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>-206.95</f>
        <v>-206.95</v>
      </c>
      <c r="E67" s="2"/>
      <c r="F67" s="19"/>
      <c r="G67" s="2"/>
      <c r="H67" s="2"/>
      <c r="I67" s="2"/>
      <c r="J67" s="19"/>
      <c r="K67" s="2"/>
      <c r="L67" s="2">
        <f t="shared" si="0"/>
        <v>-206.95</v>
      </c>
      <c r="M67" s="2"/>
      <c r="N67" s="19">
        <f t="shared" si="1"/>
        <v>0</v>
      </c>
      <c r="O67" s="11"/>
      <c r="P67" s="2">
        <f>-20096.26</f>
        <v>-20096.259999999998</v>
      </c>
      <c r="Q67" s="2"/>
      <c r="R67" s="19"/>
      <c r="S67" s="2"/>
      <c r="T67" s="2"/>
      <c r="U67" s="2"/>
      <c r="V67" s="19"/>
      <c r="W67" s="2"/>
      <c r="X67" s="2">
        <f t="shared" si="2"/>
        <v>-20096.259999999998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 t="shared" ref="D68:D71" si="6"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-1763.1</f>
        <v>-1763.1</v>
      </c>
      <c r="Q68" s="2"/>
      <c r="R68" s="19"/>
      <c r="S68" s="2"/>
      <c r="T68" s="2"/>
      <c r="U68" s="2"/>
      <c r="V68" s="19"/>
      <c r="W68" s="2"/>
      <c r="X68" s="2">
        <f t="shared" si="2"/>
        <v>-1763.1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"4213", " - ", "NON-TAXABLE SALES-TRADE BOOKS")</f>
        <v xml:space="preserve">          4213 - NON-TAXABLE SALES-TRADE BOOKS</v>
      </c>
      <c r="C69" s="11"/>
      <c r="D69" s="2">
        <f t="shared" si="6"/>
        <v>0</v>
      </c>
      <c r="E69" s="2"/>
      <c r="F69" s="19"/>
      <c r="G69" s="2"/>
      <c r="H69" s="2"/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-69.93</f>
        <v>-69.930000000000007</v>
      </c>
      <c r="Q69" s="2"/>
      <c r="R69" s="19"/>
      <c r="S69" s="2"/>
      <c r="T69" s="2"/>
      <c r="U69" s="2"/>
      <c r="V69" s="19"/>
      <c r="W69" s="2"/>
      <c r="X69" s="2">
        <f t="shared" si="2"/>
        <v>-69.930000000000007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"4218", " - ", "SALES RETURN TAXABLE-STUDY GUI")</f>
        <v xml:space="preserve">          4218 - SALES RETURN TAXABLE-STUDY GUI</v>
      </c>
      <c r="C70" s="11"/>
      <c r="D70" s="2">
        <f t="shared" si="6"/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-5.21</f>
        <v>-5.21</v>
      </c>
      <c r="Q70" s="2"/>
      <c r="R70" s="19"/>
      <c r="S70" s="2"/>
      <c r="T70" s="2"/>
      <c r="U70" s="2"/>
      <c r="V70" s="19"/>
      <c r="W70" s="2"/>
      <c r="X70" s="2">
        <f t="shared" si="2"/>
        <v>-5.21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"4226", " - ", "SALES RETURN TAXABLE-WRITING I")</f>
        <v xml:space="preserve">          4226 - SALES RETURN TAXABLE-WRITING I</v>
      </c>
      <c r="C71" s="11"/>
      <c r="D71" s="2">
        <f t="shared" si="6"/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-34.23</f>
        <v>-34.229999999999997</v>
      </c>
      <c r="Q71" s="2"/>
      <c r="R71" s="19"/>
      <c r="S71" s="2"/>
      <c r="T71" s="2"/>
      <c r="U71" s="2"/>
      <c r="V71" s="19"/>
      <c r="W71" s="2"/>
      <c r="X71" s="2">
        <f t="shared" si="2"/>
        <v>-34.229999999999997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"4227", " - ", "SALES RETURN TAXABLE-SCHOOL SU")</f>
        <v xml:space="preserve">          4227 - SALES RETURN TAXABLE-SCHOOL SU</v>
      </c>
      <c r="C72" s="11"/>
      <c r="D72" s="2">
        <f>-500.54</f>
        <v>-500.54</v>
      </c>
      <c r="E72" s="2"/>
      <c r="F72" s="19"/>
      <c r="G72" s="2"/>
      <c r="H72" s="2"/>
      <c r="I72" s="2"/>
      <c r="J72" s="19"/>
      <c r="K72" s="2"/>
      <c r="L72" s="2">
        <f t="shared" si="0"/>
        <v>-500.54</v>
      </c>
      <c r="M72" s="2"/>
      <c r="N72" s="19">
        <f t="shared" si="1"/>
        <v>0</v>
      </c>
      <c r="O72" s="11"/>
      <c r="P72" s="2">
        <f>-1346.66</f>
        <v>-1346.66</v>
      </c>
      <c r="Q72" s="2"/>
      <c r="R72" s="19"/>
      <c r="S72" s="2"/>
      <c r="T72" s="2"/>
      <c r="U72" s="2"/>
      <c r="V72" s="19"/>
      <c r="W72" s="2"/>
      <c r="X72" s="2">
        <f t="shared" si="2"/>
        <v>-1346.66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"4228", " - ", "SALES RETURN TAXABLE-ART/TECH")</f>
        <v xml:space="preserve">          4228 - SALES RETURN TAXABLE-ART/TECH</v>
      </c>
      <c r="C73" s="11"/>
      <c r="D73" s="2">
        <f>-136.11</f>
        <v>-136.11000000000001</v>
      </c>
      <c r="E73" s="2"/>
      <c r="F73" s="19"/>
      <c r="G73" s="2"/>
      <c r="H73" s="2"/>
      <c r="I73" s="2"/>
      <c r="J73" s="19"/>
      <c r="K73" s="2"/>
      <c r="L73" s="2">
        <f t="shared" si="0"/>
        <v>-136.11000000000001</v>
      </c>
      <c r="M73" s="2"/>
      <c r="N73" s="19">
        <f t="shared" si="1"/>
        <v>0</v>
      </c>
      <c r="O73" s="11"/>
      <c r="P73" s="2">
        <f>-12973.73</f>
        <v>-12973.73</v>
      </c>
      <c r="Q73" s="2"/>
      <c r="R73" s="19"/>
      <c r="S73" s="2"/>
      <c r="T73" s="2"/>
      <c r="U73" s="2"/>
      <c r="V73" s="19"/>
      <c r="W73" s="2"/>
      <c r="X73" s="2">
        <f t="shared" si="2"/>
        <v>-12973.73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"4240", " - ", "SALES RETURN TAXABLE-LOGO CLOT")</f>
        <v xml:space="preserve">          4240 - SALES RETURN TAXABLE-LOGO CLOT</v>
      </c>
      <c r="C74" s="11"/>
      <c r="D74" s="2">
        <f>-5611.92</f>
        <v>-5611.92</v>
      </c>
      <c r="E74" s="2"/>
      <c r="F74" s="19"/>
      <c r="G74" s="2"/>
      <c r="H74" s="2"/>
      <c r="I74" s="2"/>
      <c r="J74" s="19"/>
      <c r="K74" s="2"/>
      <c r="L74" s="2">
        <f t="shared" si="0"/>
        <v>-5611.92</v>
      </c>
      <c r="M74" s="2"/>
      <c r="N74" s="19">
        <f t="shared" si="1"/>
        <v>0</v>
      </c>
      <c r="O74" s="11"/>
      <c r="P74" s="2">
        <f>-40666.27</f>
        <v>-40666.269999999997</v>
      </c>
      <c r="Q74" s="2"/>
      <c r="R74" s="19"/>
      <c r="S74" s="2"/>
      <c r="T74" s="2"/>
      <c r="U74" s="2"/>
      <c r="V74" s="19"/>
      <c r="W74" s="2"/>
      <c r="X74" s="2">
        <f t="shared" si="2"/>
        <v>-40666.269999999997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"4241", " - ", "SALES RETURN TAXABLE-LOGO GIFT")</f>
        <v xml:space="preserve">          4241 - SALES RETURN TAXABLE-LOGO GIFT</v>
      </c>
      <c r="C75" s="11"/>
      <c r="D75" s="2">
        <f>-5656.91</f>
        <v>-5656.91</v>
      </c>
      <c r="E75" s="2"/>
      <c r="F75" s="19"/>
      <c r="G75" s="2"/>
      <c r="H75" s="2"/>
      <c r="I75" s="2"/>
      <c r="J75" s="19"/>
      <c r="K75" s="2"/>
      <c r="L75" s="2">
        <f t="shared" si="0"/>
        <v>-5656.91</v>
      </c>
      <c r="M75" s="2"/>
      <c r="N75" s="19">
        <f t="shared" si="1"/>
        <v>0</v>
      </c>
      <c r="O75" s="11"/>
      <c r="P75" s="2">
        <f>-12175.25</f>
        <v>-12175.25</v>
      </c>
      <c r="Q75" s="2"/>
      <c r="R75" s="19"/>
      <c r="S75" s="2"/>
      <c r="T75" s="2"/>
      <c r="U75" s="2"/>
      <c r="V75" s="19"/>
      <c r="W75" s="2"/>
      <c r="X75" s="2">
        <f t="shared" si="2"/>
        <v>-12175.25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"4242", " - ", "SALES RETURN TAXABLE-EVERYDAY")</f>
        <v xml:space="preserve">          4242 - SALES RETURN TAXABLE-EVERYDAY</v>
      </c>
      <c r="C76" s="11"/>
      <c r="D76" s="2">
        <f>-332.27</f>
        <v>-332.27</v>
      </c>
      <c r="E76" s="2"/>
      <c r="F76" s="19"/>
      <c r="G76" s="2"/>
      <c r="H76" s="2"/>
      <c r="I76" s="2"/>
      <c r="J76" s="19"/>
      <c r="K76" s="2"/>
      <c r="L76" s="2">
        <f t="shared" si="0"/>
        <v>-332.27</v>
      </c>
      <c r="M76" s="2"/>
      <c r="N76" s="19">
        <f t="shared" si="1"/>
        <v>0</v>
      </c>
      <c r="O76" s="11"/>
      <c r="P76" s="2">
        <f>-2636.09</f>
        <v>-2636.09</v>
      </c>
      <c r="Q76" s="2"/>
      <c r="R76" s="19"/>
      <c r="S76" s="2"/>
      <c r="T76" s="2"/>
      <c r="U76" s="2"/>
      <c r="V76" s="19"/>
      <c r="W76" s="2"/>
      <c r="X76" s="2">
        <f t="shared" si="2"/>
        <v>-2636.09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"4243", " - ", "SALES RETURN TAXABLE-CARDS")</f>
        <v xml:space="preserve">          4243 - SALES RETURN TAXABLE-CARDS</v>
      </c>
      <c r="C77" s="11"/>
      <c r="D77" s="2">
        <f>-199.86</f>
        <v>-199.86</v>
      </c>
      <c r="E77" s="2"/>
      <c r="F77" s="19"/>
      <c r="G77" s="2"/>
      <c r="H77" s="2"/>
      <c r="I77" s="2"/>
      <c r="J77" s="19"/>
      <c r="K77" s="2"/>
      <c r="L77" s="2">
        <f t="shared" si="0"/>
        <v>-199.86</v>
      </c>
      <c r="M77" s="2"/>
      <c r="N77" s="19">
        <f t="shared" si="1"/>
        <v>0</v>
      </c>
      <c r="O77" s="11"/>
      <c r="P77" s="2">
        <f>-6142.09</f>
        <v>-6142.09</v>
      </c>
      <c r="Q77" s="2"/>
      <c r="R77" s="19"/>
      <c r="S77" s="2"/>
      <c r="T77" s="2"/>
      <c r="U77" s="2"/>
      <c r="V77" s="19"/>
      <c r="W77" s="2"/>
      <c r="X77" s="2">
        <f t="shared" si="2"/>
        <v>-6142.09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"4244", " - ", "SALES RETURN TAXABLE-ACCESSORI")</f>
        <v xml:space="preserve">          4244 - SALES RETURN TAXABLE-ACCESSORI</v>
      </c>
      <c r="C78" s="11"/>
      <c r="D78" s="2">
        <f>-8.24</f>
        <v>-8.24</v>
      </c>
      <c r="E78" s="2"/>
      <c r="F78" s="19"/>
      <c r="G78" s="2"/>
      <c r="H78" s="2"/>
      <c r="I78" s="2"/>
      <c r="J78" s="19"/>
      <c r="K78" s="2"/>
      <c r="L78" s="2">
        <f t="shared" si="0"/>
        <v>-8.24</v>
      </c>
      <c r="M78" s="2"/>
      <c r="N78" s="19">
        <f t="shared" si="1"/>
        <v>0</v>
      </c>
      <c r="O78" s="11"/>
      <c r="P78" s="2">
        <f>-1243.5</f>
        <v>-1243.5</v>
      </c>
      <c r="Q78" s="2"/>
      <c r="R78" s="19"/>
      <c r="S78" s="2"/>
      <c r="T78" s="2"/>
      <c r="U78" s="2"/>
      <c r="V78" s="19"/>
      <c r="W78" s="2"/>
      <c r="X78" s="2">
        <f t="shared" si="2"/>
        <v>-1243.5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"4245", " - ", "SALES RETURN TAXABLE-SPECIAL O")</f>
        <v xml:space="preserve">          4245 - SALES RETURN TAXABLE-SPECIAL O</v>
      </c>
      <c r="C79" s="11"/>
      <c r="D79" s="2">
        <f>-4071.14</f>
        <v>-4071.14</v>
      </c>
      <c r="E79" s="2"/>
      <c r="F79" s="19"/>
      <c r="G79" s="2"/>
      <c r="H79" s="2"/>
      <c r="I79" s="2"/>
      <c r="J79" s="19"/>
      <c r="K79" s="2"/>
      <c r="L79" s="2">
        <f t="shared" si="0"/>
        <v>-4071.14</v>
      </c>
      <c r="M79" s="2"/>
      <c r="N79" s="19">
        <f t="shared" si="1"/>
        <v>0</v>
      </c>
      <c r="O79" s="11"/>
      <c r="P79" s="2">
        <f>-15424.73</f>
        <v>-15424.73</v>
      </c>
      <c r="Q79" s="2"/>
      <c r="R79" s="19"/>
      <c r="S79" s="2"/>
      <c r="T79" s="2"/>
      <c r="U79" s="2"/>
      <c r="V79" s="19"/>
      <c r="W79" s="2"/>
      <c r="X79" s="2">
        <f t="shared" si="2"/>
        <v>-15424.73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"4281", " - ", "SALES RETURN TAXABLE-ELECTRONI")</f>
        <v xml:space="preserve">          4281 - SALES RETURN TAXABLE-ELECTRONI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-14762.14</f>
        <v>-14762.14</v>
      </c>
      <c r="Q80" s="2"/>
      <c r="R80" s="19"/>
      <c r="S80" s="2"/>
      <c r="T80" s="2"/>
      <c r="U80" s="2"/>
      <c r="V80" s="19"/>
      <c r="W80" s="2"/>
      <c r="X80" s="2">
        <f t="shared" si="2"/>
        <v>-14762.14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"4282", " - ", "SALES RETURN TAXABLE-COMPUTER")</f>
        <v xml:space="preserve">          4282 - SALES RETURN TAXABLE-COMPUTER</v>
      </c>
      <c r="C81" s="11"/>
      <c r="D81" s="2">
        <f>-42380</f>
        <v>-42380</v>
      </c>
      <c r="E81" s="2"/>
      <c r="F81" s="19"/>
      <c r="G81" s="2"/>
      <c r="H81" s="2"/>
      <c r="I81" s="2"/>
      <c r="J81" s="19"/>
      <c r="K81" s="2"/>
      <c r="L81" s="2">
        <f t="shared" si="0"/>
        <v>-42380</v>
      </c>
      <c r="M81" s="2"/>
      <c r="N81" s="19">
        <f t="shared" si="1"/>
        <v>0</v>
      </c>
      <c r="O81" s="11"/>
      <c r="P81" s="2">
        <f>-215145.16</f>
        <v>-215145.16</v>
      </c>
      <c r="Q81" s="2"/>
      <c r="R81" s="19"/>
      <c r="S81" s="2"/>
      <c r="T81" s="2"/>
      <c r="U81" s="2"/>
      <c r="V81" s="19"/>
      <c r="W81" s="2"/>
      <c r="X81" s="2">
        <f t="shared" si="2"/>
        <v>-215145.16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"4283", " - ", "SALES RETURN TAXABLE-COMPUTER")</f>
        <v xml:space="preserve">          4283 - SALES RETURN TAXABLE-COMPUTER</v>
      </c>
      <c r="C82" s="11"/>
      <c r="D82" s="2">
        <f>-197.95</f>
        <v>-197.95</v>
      </c>
      <c r="E82" s="2"/>
      <c r="F82" s="19"/>
      <c r="G82" s="2"/>
      <c r="H82" s="2"/>
      <c r="I82" s="2"/>
      <c r="J82" s="19"/>
      <c r="K82" s="2"/>
      <c r="L82" s="2">
        <f t="shared" si="0"/>
        <v>-197.95</v>
      </c>
      <c r="M82" s="2"/>
      <c r="N82" s="19">
        <f t="shared" si="1"/>
        <v>0</v>
      </c>
      <c r="O82" s="11"/>
      <c r="P82" s="2">
        <f>-3947.2</f>
        <v>-3947.2</v>
      </c>
      <c r="Q82" s="2"/>
      <c r="R82" s="19"/>
      <c r="S82" s="2"/>
      <c r="T82" s="2"/>
      <c r="U82" s="2"/>
      <c r="V82" s="19"/>
      <c r="W82" s="2"/>
      <c r="X82" s="2">
        <f t="shared" si="2"/>
        <v>-3947.2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"4285", " - ", "SALES RETURN TAXABLE-SOFTWARE")</f>
        <v xml:space="preserve">          4285 - SALES RETURN TAXABLE-SOFTWARE</v>
      </c>
      <c r="C83" s="11"/>
      <c r="D83" s="2">
        <f>-99.83</f>
        <v>-99.83</v>
      </c>
      <c r="E83" s="2"/>
      <c r="F83" s="19"/>
      <c r="G83" s="2"/>
      <c r="H83" s="2"/>
      <c r="I83" s="2"/>
      <c r="J83" s="19"/>
      <c r="K83" s="2"/>
      <c r="L83" s="2">
        <f t="shared" si="0"/>
        <v>-99.83</v>
      </c>
      <c r="M83" s="2"/>
      <c r="N83" s="19">
        <f t="shared" si="1"/>
        <v>0</v>
      </c>
      <c r="O83" s="11"/>
      <c r="P83" s="2">
        <f>-1091.79</f>
        <v>-1091.79</v>
      </c>
      <c r="Q83" s="2"/>
      <c r="R83" s="19"/>
      <c r="S83" s="2"/>
      <c r="T83" s="2"/>
      <c r="U83" s="2"/>
      <c r="V83" s="19"/>
      <c r="W83" s="2"/>
      <c r="X83" s="2">
        <f t="shared" si="2"/>
        <v>-1091.79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"4286", " - ", "SALES RETURN TAXABLE-COMPUTER")</f>
        <v xml:space="preserve">          4286 - SALES RETURN TAXABLE-COMPUTER</v>
      </c>
      <c r="C84" s="11"/>
      <c r="D84" s="2">
        <f>0</f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-4802.29</f>
        <v>-4802.29</v>
      </c>
      <c r="Q84" s="2"/>
      <c r="R84" s="19"/>
      <c r="S84" s="2"/>
      <c r="T84" s="2"/>
      <c r="U84" s="2"/>
      <c r="V84" s="19"/>
      <c r="W84" s="2"/>
      <c r="X84" s="2">
        <f t="shared" si="2"/>
        <v>-4802.29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"4301", " - ", "SALES RETURN NON TAXABLE-NEW T")</f>
        <v xml:space="preserve">          4301 - SALES RETURN NON TAXABLE-NEW T</v>
      </c>
      <c r="C85" s="11"/>
      <c r="D85" s="2">
        <f>-225.91</f>
        <v>-225.91</v>
      </c>
      <c r="E85" s="2"/>
      <c r="F85" s="19"/>
      <c r="G85" s="2"/>
      <c r="H85" s="2"/>
      <c r="I85" s="2"/>
      <c r="J85" s="19"/>
      <c r="K85" s="2"/>
      <c r="L85" s="2">
        <f t="shared" si="0"/>
        <v>-225.91</v>
      </c>
      <c r="M85" s="2"/>
      <c r="N85" s="19">
        <f t="shared" si="1"/>
        <v>0</v>
      </c>
      <c r="O85" s="11"/>
      <c r="P85" s="2">
        <f>-3463.2</f>
        <v>-3463.2</v>
      </c>
      <c r="Q85" s="2"/>
      <c r="R85" s="19"/>
      <c r="S85" s="2"/>
      <c r="T85" s="2"/>
      <c r="U85" s="2"/>
      <c r="V85" s="19"/>
      <c r="W85" s="2"/>
      <c r="X85" s="2">
        <f t="shared" si="2"/>
        <v>-3463.2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"4302", " - ", "SALES RETURN NON TAXABLE-TEXT")</f>
        <v xml:space="preserve">          4302 - SALES RETURN NON TAXABLE-TEXT</v>
      </c>
      <c r="C86" s="11"/>
      <c r="D86" s="2">
        <f>-98.97</f>
        <v>-98.97</v>
      </c>
      <c r="E86" s="2"/>
      <c r="F86" s="19"/>
      <c r="G86" s="2"/>
      <c r="H86" s="2"/>
      <c r="I86" s="2"/>
      <c r="J86" s="19"/>
      <c r="K86" s="2"/>
      <c r="L86" s="2">
        <f t="shared" si="0"/>
        <v>-98.97</v>
      </c>
      <c r="M86" s="2"/>
      <c r="N86" s="19">
        <f t="shared" si="1"/>
        <v>0</v>
      </c>
      <c r="O86" s="11"/>
      <c r="P86" s="2">
        <f>-2443.32</f>
        <v>-2443.3200000000002</v>
      </c>
      <c r="Q86" s="2"/>
      <c r="R86" s="19"/>
      <c r="S86" s="2"/>
      <c r="T86" s="2"/>
      <c r="U86" s="2"/>
      <c r="V86" s="19"/>
      <c r="W86" s="2"/>
      <c r="X86" s="2">
        <f t="shared" si="2"/>
        <v>-2443.3200000000002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"4304", " - ", "SALES RETURN NON TAXABLE-DIGIT")</f>
        <v xml:space="preserve">          4304 - SALES RETURN NON TAXABLE-DIGIT</v>
      </c>
      <c r="C87" s="11"/>
      <c r="D87" s="2">
        <f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-27543.76</f>
        <v>-27543.759999999998</v>
      </c>
      <c r="Q87" s="2"/>
      <c r="R87" s="19"/>
      <c r="S87" s="2"/>
      <c r="T87" s="2"/>
      <c r="U87" s="2"/>
      <c r="V87" s="19"/>
      <c r="W87" s="2"/>
      <c r="X87" s="2">
        <f t="shared" si="2"/>
        <v>-27543.759999999998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"4340", " - ", "SALES RETURN NON TAXABLE-LOGO")</f>
        <v xml:space="preserve">          4340 - SALES RETURN NON TAXABLE-LOGO</v>
      </c>
      <c r="C88" s="11"/>
      <c r="D88" s="2">
        <f>-664.13</f>
        <v>-664.13</v>
      </c>
      <c r="E88" s="2"/>
      <c r="F88" s="19"/>
      <c r="G88" s="2"/>
      <c r="H88" s="2"/>
      <c r="I88" s="2"/>
      <c r="J88" s="19"/>
      <c r="K88" s="2"/>
      <c r="L88" s="2">
        <f t="shared" si="0"/>
        <v>-664.13</v>
      </c>
      <c r="M88" s="2"/>
      <c r="N88" s="19">
        <f t="shared" si="1"/>
        <v>0</v>
      </c>
      <c r="O88" s="11"/>
      <c r="P88" s="2">
        <f>-3307.52</f>
        <v>-3307.52</v>
      </c>
      <c r="Q88" s="2"/>
      <c r="R88" s="19"/>
      <c r="S88" s="2"/>
      <c r="T88" s="2"/>
      <c r="U88" s="2"/>
      <c r="V88" s="19"/>
      <c r="W88" s="2"/>
      <c r="X88" s="2">
        <f t="shared" si="2"/>
        <v>-3307.52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"4341", " - ", "SALES RETURN NON TAXABLE-LOGO")</f>
        <v xml:space="preserve">          4341 - SALES RETURN NON TAXABLE-LOGO</v>
      </c>
      <c r="C89" s="11"/>
      <c r="D89" s="2">
        <f>-9.9</f>
        <v>-9.9</v>
      </c>
      <c r="E89" s="2"/>
      <c r="F89" s="19"/>
      <c r="G89" s="2"/>
      <c r="H89" s="2"/>
      <c r="I89" s="2"/>
      <c r="J89" s="19"/>
      <c r="K89" s="2"/>
      <c r="L89" s="2">
        <f t="shared" si="0"/>
        <v>-9.9</v>
      </c>
      <c r="M89" s="2"/>
      <c r="N89" s="19">
        <f t="shared" si="1"/>
        <v>0</v>
      </c>
      <c r="O89" s="11"/>
      <c r="P89" s="2">
        <f>-402.44</f>
        <v>-402.44</v>
      </c>
      <c r="Q89" s="2"/>
      <c r="R89" s="19"/>
      <c r="S89" s="2"/>
      <c r="T89" s="2"/>
      <c r="U89" s="2"/>
      <c r="V89" s="19"/>
      <c r="W89" s="2"/>
      <c r="X89" s="2">
        <f t="shared" si="2"/>
        <v>-402.44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"4342", " - ", "SALES RETURN NON TAXABLE-EVERY")</f>
        <v xml:space="preserve">          4342 - SALES RETURN NON TAXABLE-EVERY</v>
      </c>
      <c r="C90" s="11"/>
      <c r="D90" s="2">
        <f t="shared" ref="D90:D91" si="7"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-118.7</f>
        <v>-118.7</v>
      </c>
      <c r="Q90" s="2"/>
      <c r="R90" s="19"/>
      <c r="S90" s="2"/>
      <c r="T90" s="2"/>
      <c r="U90" s="2"/>
      <c r="V90" s="19"/>
      <c r="W90" s="2"/>
      <c r="X90" s="2">
        <f t="shared" si="2"/>
        <v>-118.7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"4381", " - ", "SALES RETURN NON TAXABLE-ELECT")</f>
        <v xml:space="preserve">          4381 - SALES RETURN NON TAXABLE-ELECT</v>
      </c>
      <c r="C91" s="11"/>
      <c r="D91" s="2">
        <f t="shared" si="7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-5624.15</f>
        <v>-5624.15</v>
      </c>
      <c r="Q91" s="2"/>
      <c r="R91" s="19"/>
      <c r="S91" s="2"/>
      <c r="T91" s="2"/>
      <c r="U91" s="2"/>
      <c r="V91" s="19"/>
      <c r="W91" s="2"/>
      <c r="X91" s="2">
        <f t="shared" si="2"/>
        <v>-5624.15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"4383", " - ", "SALES RETURN NON TAXABLE-COMPU")</f>
        <v xml:space="preserve">          4383 - SALES RETURN NON TAXABLE-COMPU</v>
      </c>
      <c r="C92" s="11"/>
      <c r="D92" s="2">
        <f>-14.99</f>
        <v>-14.99</v>
      </c>
      <c r="E92" s="2"/>
      <c r="F92" s="19"/>
      <c r="G92" s="2"/>
      <c r="H92" s="2"/>
      <c r="I92" s="2"/>
      <c r="J92" s="19"/>
      <c r="K92" s="2"/>
      <c r="L92" s="2">
        <f t="shared" si="0"/>
        <v>-14.99</v>
      </c>
      <c r="M92" s="2"/>
      <c r="N92" s="19">
        <f t="shared" si="1"/>
        <v>0</v>
      </c>
      <c r="O92" s="11"/>
      <c r="P92" s="2">
        <f>-14.99</f>
        <v>-14.99</v>
      </c>
      <c r="Q92" s="2"/>
      <c r="R92" s="19"/>
      <c r="S92" s="2"/>
      <c r="T92" s="2"/>
      <c r="U92" s="2"/>
      <c r="V92" s="19"/>
      <c r="W92" s="2"/>
      <c r="X92" s="2">
        <f t="shared" si="2"/>
        <v>-14.99</v>
      </c>
      <c r="Y92" s="2"/>
      <c r="Z92" s="19">
        <f t="shared" si="3"/>
        <v>0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collapsed="1" x14ac:dyDescent="0.25">
      <c r="A94" s="10"/>
      <c r="B94" s="29" t="s">
        <v>257</v>
      </c>
      <c r="C94" s="10"/>
      <c r="D94" s="4">
        <f>SUM(OSRRefD16x_0)</f>
        <v>592594.99</v>
      </c>
      <c r="E94" s="4"/>
      <c r="F94" s="12">
        <f t="shared" ref="F94:F142" si="8">IF(D$12=0,0,D94/D$12)</f>
        <v>0.7040506839988635</v>
      </c>
      <c r="G94" s="4"/>
      <c r="H94" s="4">
        <f>SUM(OSRRefH16x_0)</f>
        <v>483224</v>
      </c>
      <c r="I94" s="4"/>
      <c r="J94" s="12">
        <f t="shared" ref="J94:J142" si="9">IF(H$12=0,0,H94/H$12)</f>
        <v>0.6485348966113319</v>
      </c>
      <c r="K94" s="4"/>
      <c r="L94" s="4">
        <f t="shared" ref="L94:L142" si="10">+D94-H94</f>
        <v>109370.98999999999</v>
      </c>
      <c r="M94" s="4"/>
      <c r="N94" s="12">
        <f t="shared" ref="N94:N142" si="11">IF(H94=0,0,L94/H94)</f>
        <v>0.2263360056619704</v>
      </c>
      <c r="O94" s="10"/>
      <c r="P94" s="4">
        <f>SUM(OSRRefP16x_0)</f>
        <v>5178092.5900000008</v>
      </c>
      <c r="Q94" s="4"/>
      <c r="R94" s="12">
        <f t="shared" ref="R94:R142" si="12">IF(P$12=0,0,P94/P$12)</f>
        <v>0.72670666112788973</v>
      </c>
      <c r="S94" s="4"/>
      <c r="T94" s="4">
        <f>SUM(OSRRefT16x_0)</f>
        <v>6496725</v>
      </c>
      <c r="U94" s="4"/>
      <c r="V94" s="12">
        <f t="shared" ref="V94:V142" si="13">IF(T$12=0,0,T94/T$12)</f>
        <v>0.63083880740492593</v>
      </c>
      <c r="W94" s="4"/>
      <c r="X94" s="4">
        <f t="shared" ref="X94:X142" si="14">+P94-T94</f>
        <v>-1318632.4099999992</v>
      </c>
      <c r="Y94" s="4"/>
      <c r="Z94" s="12">
        <f t="shared" ref="Z94:Z142" si="15">IF(T94=0,0,X94/T94)</f>
        <v>-0.20296878965940521</v>
      </c>
    </row>
    <row r="95" spans="1:26" s="24" customFormat="1" hidden="1" outlineLevel="1" x14ac:dyDescent="0.25">
      <c r="A95" s="44"/>
      <c r="B95" s="11" t="str">
        <f>CONCATENATE("          ", "5000", " - ", "PURCHASES @ COST")</f>
        <v xml:space="preserve">          5000 - PURCHASES @ COST</v>
      </c>
      <c r="C95" s="11"/>
      <c r="D95" s="2"/>
      <c r="E95" s="2"/>
      <c r="F95" s="19">
        <f t="shared" si="8"/>
        <v>0</v>
      </c>
      <c r="G95" s="2"/>
      <c r="H95" s="2">
        <v>483224</v>
      </c>
      <c r="I95" s="2"/>
      <c r="J95" s="19">
        <f t="shared" si="9"/>
        <v>0.6485348966113319</v>
      </c>
      <c r="K95" s="2"/>
      <c r="L95" s="2">
        <f t="shared" si="10"/>
        <v>-483224</v>
      </c>
      <c r="M95" s="2"/>
      <c r="N95" s="19">
        <f t="shared" si="11"/>
        <v>-1</v>
      </c>
      <c r="O95" s="11"/>
      <c r="P95" s="2">
        <v>0</v>
      </c>
      <c r="Q95" s="2"/>
      <c r="R95" s="19">
        <f t="shared" si="12"/>
        <v>0</v>
      </c>
      <c r="S95" s="2"/>
      <c r="T95" s="2">
        <v>6496725</v>
      </c>
      <c r="U95" s="2"/>
      <c r="V95" s="19">
        <f t="shared" si="13"/>
        <v>0.63083880740492593</v>
      </c>
      <c r="W95" s="2"/>
      <c r="X95" s="2">
        <f t="shared" si="14"/>
        <v>-6496725</v>
      </c>
      <c r="Y95" s="2"/>
      <c r="Z95" s="19">
        <f t="shared" si="15"/>
        <v>-1</v>
      </c>
    </row>
    <row r="96" spans="1:26" s="24" customFormat="1" hidden="1" outlineLevel="1" x14ac:dyDescent="0.25">
      <c r="A96" s="44"/>
      <c r="B96" s="11" t="str">
        <f>CONCATENATE("          ", "5001", " - ", "PURCHASES @ COST-NEW TEXT")</f>
        <v xml:space="preserve">          5001 - PURCHASES @ COST-NEW TEXT</v>
      </c>
      <c r="C96" s="11"/>
      <c r="D96" s="2">
        <v>-28969.93</v>
      </c>
      <c r="E96" s="2"/>
      <c r="F96" s="19">
        <f t="shared" si="8"/>
        <v>-3.4418615371519079E-2</v>
      </c>
      <c r="G96" s="2"/>
      <c r="H96" s="2"/>
      <c r="I96" s="2"/>
      <c r="J96" s="19">
        <f t="shared" si="9"/>
        <v>0</v>
      </c>
      <c r="K96" s="2"/>
      <c r="L96" s="2">
        <f t="shared" si="10"/>
        <v>-28969.93</v>
      </c>
      <c r="M96" s="2"/>
      <c r="N96" s="19">
        <f t="shared" si="11"/>
        <v>0</v>
      </c>
      <c r="O96" s="11"/>
      <c r="P96" s="2">
        <v>1006546.47</v>
      </c>
      <c r="Q96" s="2"/>
      <c r="R96" s="19">
        <f t="shared" si="12"/>
        <v>0.14126128719605677</v>
      </c>
      <c r="S96" s="2"/>
      <c r="T96" s="2"/>
      <c r="U96" s="2"/>
      <c r="V96" s="19">
        <f t="shared" si="13"/>
        <v>0</v>
      </c>
      <c r="W96" s="2"/>
      <c r="X96" s="2">
        <f t="shared" si="14"/>
        <v>1006546.47</v>
      </c>
      <c r="Y96" s="2"/>
      <c r="Z96" s="19">
        <f t="shared" si="15"/>
        <v>0</v>
      </c>
    </row>
    <row r="97" spans="1:26" s="24" customFormat="1" hidden="1" outlineLevel="1" x14ac:dyDescent="0.25">
      <c r="A97" s="44"/>
      <c r="B97" s="11" t="str">
        <f>CONCATENATE("          ", "5002", " - ", "PURCHASES @ COST-USED TEXT")</f>
        <v xml:space="preserve">          5002 - PURCHASES @ COST-USED TEXT</v>
      </c>
      <c r="C97" s="11"/>
      <c r="D97" s="2">
        <v>-122091.65</v>
      </c>
      <c r="E97" s="2"/>
      <c r="F97" s="19">
        <f t="shared" si="8"/>
        <v>-0.1450547357699562</v>
      </c>
      <c r="G97" s="2"/>
      <c r="H97" s="2"/>
      <c r="I97" s="2"/>
      <c r="J97" s="19">
        <f t="shared" si="9"/>
        <v>0</v>
      </c>
      <c r="K97" s="2"/>
      <c r="L97" s="2">
        <f t="shared" si="10"/>
        <v>-122091.65</v>
      </c>
      <c r="M97" s="2"/>
      <c r="N97" s="19">
        <f t="shared" si="11"/>
        <v>0</v>
      </c>
      <c r="O97" s="11"/>
      <c r="P97" s="2">
        <v>274961.02</v>
      </c>
      <c r="Q97" s="2"/>
      <c r="R97" s="19">
        <f t="shared" si="12"/>
        <v>3.8588727665937482E-2</v>
      </c>
      <c r="S97" s="2"/>
      <c r="T97" s="2"/>
      <c r="U97" s="2"/>
      <c r="V97" s="19">
        <f t="shared" si="13"/>
        <v>0</v>
      </c>
      <c r="W97" s="2"/>
      <c r="X97" s="2">
        <f t="shared" si="14"/>
        <v>274961.02</v>
      </c>
      <c r="Y97" s="2"/>
      <c r="Z97" s="19">
        <f t="shared" si="15"/>
        <v>0</v>
      </c>
    </row>
    <row r="98" spans="1:26" s="24" customFormat="1" hidden="1" outlineLevel="1" x14ac:dyDescent="0.25">
      <c r="A98" s="44"/>
      <c r="B98" s="11" t="str">
        <f>CONCATENATE("          ", "5003", " - ", "PURCHASES @ COST-RENTAL TEXT")</f>
        <v xml:space="preserve">          5003 - PURCHASES @ COST-RENTAL TEXT</v>
      </c>
      <c r="C98" s="11"/>
      <c r="D98" s="2"/>
      <c r="E98" s="2"/>
      <c r="F98" s="19">
        <f t="shared" si="8"/>
        <v>0</v>
      </c>
      <c r="G98" s="2"/>
      <c r="H98" s="2"/>
      <c r="I98" s="2"/>
      <c r="J98" s="19">
        <f t="shared" si="9"/>
        <v>0</v>
      </c>
      <c r="K98" s="2"/>
      <c r="L98" s="2">
        <f t="shared" si="10"/>
        <v>0</v>
      </c>
      <c r="M98" s="2"/>
      <c r="N98" s="19">
        <f t="shared" si="11"/>
        <v>0</v>
      </c>
      <c r="O98" s="11"/>
      <c r="P98" s="2">
        <v>32.520000000000003</v>
      </c>
      <c r="Q98" s="2"/>
      <c r="R98" s="19">
        <f t="shared" si="12"/>
        <v>4.5639393674648388E-6</v>
      </c>
      <c r="S98" s="2"/>
      <c r="T98" s="2"/>
      <c r="U98" s="2"/>
      <c r="V98" s="19">
        <f t="shared" si="13"/>
        <v>0</v>
      </c>
      <c r="W98" s="2"/>
      <c r="X98" s="2">
        <f t="shared" si="14"/>
        <v>32.520000000000003</v>
      </c>
      <c r="Y98" s="2"/>
      <c r="Z98" s="19">
        <f t="shared" si="15"/>
        <v>0</v>
      </c>
    </row>
    <row r="99" spans="1:26" s="24" customFormat="1" hidden="1" outlineLevel="1" x14ac:dyDescent="0.25">
      <c r="A99" s="44"/>
      <c r="B99" s="11" t="str">
        <f>CONCATENATE("          ", "5004", " - ", "PURCHASES @ COST-DIGITAL TEXT")</f>
        <v xml:space="preserve">          5004 - PURCHASES @ COST-DIGITAL TEXT</v>
      </c>
      <c r="C99" s="11"/>
      <c r="D99" s="2">
        <v>887.88</v>
      </c>
      <c r="E99" s="2"/>
      <c r="F99" s="19">
        <f t="shared" si="8"/>
        <v>1.0548731120877529E-3</v>
      </c>
      <c r="G99" s="2"/>
      <c r="H99" s="2"/>
      <c r="I99" s="2"/>
      <c r="J99" s="19">
        <f t="shared" si="9"/>
        <v>0</v>
      </c>
      <c r="K99" s="2"/>
      <c r="L99" s="2">
        <f t="shared" si="10"/>
        <v>887.88</v>
      </c>
      <c r="M99" s="2"/>
      <c r="N99" s="19">
        <f t="shared" si="11"/>
        <v>0</v>
      </c>
      <c r="O99" s="11"/>
      <c r="P99" s="2">
        <v>207450.38</v>
      </c>
      <c r="Q99" s="2"/>
      <c r="R99" s="19">
        <f t="shared" si="12"/>
        <v>2.9114113040514773E-2</v>
      </c>
      <c r="S99" s="2"/>
      <c r="T99" s="2"/>
      <c r="U99" s="2"/>
      <c r="V99" s="19">
        <f t="shared" si="13"/>
        <v>0</v>
      </c>
      <c r="W99" s="2"/>
      <c r="X99" s="2">
        <f t="shared" si="14"/>
        <v>207450.38</v>
      </c>
      <c r="Y99" s="2"/>
      <c r="Z99" s="19">
        <f t="shared" si="15"/>
        <v>0</v>
      </c>
    </row>
    <row r="100" spans="1:26" s="24" customFormat="1" hidden="1" outlineLevel="1" x14ac:dyDescent="0.25">
      <c r="A100" s="44"/>
      <c r="B100" s="11" t="str">
        <f>CONCATENATE("          ", "5011", " - ", "PURCHASES @ COST-NO VALUE TEXT")</f>
        <v xml:space="preserve">          5011 - PURCHASES @ COST-NO VALUE TEXT</v>
      </c>
      <c r="C100" s="11"/>
      <c r="D100" s="2"/>
      <c r="E100" s="2"/>
      <c r="F100" s="19">
        <f t="shared" si="8"/>
        <v>0</v>
      </c>
      <c r="G100" s="2"/>
      <c r="H100" s="2"/>
      <c r="I100" s="2"/>
      <c r="J100" s="19">
        <f t="shared" si="9"/>
        <v>0</v>
      </c>
      <c r="K100" s="2"/>
      <c r="L100" s="2">
        <f t="shared" si="10"/>
        <v>0</v>
      </c>
      <c r="M100" s="2"/>
      <c r="N100" s="19">
        <f t="shared" si="11"/>
        <v>0</v>
      </c>
      <c r="O100" s="11"/>
      <c r="P100" s="2">
        <v>67.17</v>
      </c>
      <c r="Q100" s="2"/>
      <c r="R100" s="19">
        <f t="shared" si="12"/>
        <v>9.4268083429462858E-6</v>
      </c>
      <c r="S100" s="2"/>
      <c r="T100" s="2"/>
      <c r="U100" s="2"/>
      <c r="V100" s="19">
        <f t="shared" si="13"/>
        <v>0</v>
      </c>
      <c r="W100" s="2"/>
      <c r="X100" s="2">
        <f t="shared" si="14"/>
        <v>67.17</v>
      </c>
      <c r="Y100" s="2"/>
      <c r="Z100" s="19">
        <f t="shared" si="15"/>
        <v>0</v>
      </c>
    </row>
    <row r="101" spans="1:26" s="24" customFormat="1" hidden="1" outlineLevel="1" x14ac:dyDescent="0.25">
      <c r="A101" s="44"/>
      <c r="B101" s="11" t="str">
        <f>CONCATENATE("          ", "5013", " - ", "PURCHASES @ COST-TRADE BOOKS")</f>
        <v xml:space="preserve">          5013 - PURCHASES @ COST-TRADE BOOKS</v>
      </c>
      <c r="C101" s="11"/>
      <c r="D101" s="2">
        <v>800</v>
      </c>
      <c r="E101" s="2"/>
      <c r="F101" s="19">
        <f t="shared" si="8"/>
        <v>9.5046457817520664E-4</v>
      </c>
      <c r="G101" s="2"/>
      <c r="H101" s="2"/>
      <c r="I101" s="2"/>
      <c r="J101" s="19">
        <f t="shared" si="9"/>
        <v>0</v>
      </c>
      <c r="K101" s="2"/>
      <c r="L101" s="2">
        <f t="shared" si="10"/>
        <v>800</v>
      </c>
      <c r="M101" s="2"/>
      <c r="N101" s="19">
        <f t="shared" si="11"/>
        <v>0</v>
      </c>
      <c r="O101" s="11"/>
      <c r="P101" s="2">
        <v>9670.02</v>
      </c>
      <c r="Q101" s="2"/>
      <c r="R101" s="19">
        <f t="shared" si="12"/>
        <v>1.3571151587383869E-3</v>
      </c>
      <c r="S101" s="2"/>
      <c r="T101" s="2"/>
      <c r="U101" s="2"/>
      <c r="V101" s="19">
        <f t="shared" si="13"/>
        <v>0</v>
      </c>
      <c r="W101" s="2"/>
      <c r="X101" s="2">
        <f t="shared" si="14"/>
        <v>9670.02</v>
      </c>
      <c r="Y101" s="2"/>
      <c r="Z101" s="19">
        <f t="shared" si="15"/>
        <v>0</v>
      </c>
    </row>
    <row r="102" spans="1:26" s="24" customFormat="1" hidden="1" outlineLevel="1" x14ac:dyDescent="0.25">
      <c r="A102" s="44"/>
      <c r="B102" s="11" t="str">
        <f>CONCATENATE("          ", "5014", " - ", "PURCHASES @ COST-REMAINDERS")</f>
        <v xml:space="preserve">          5014 - PURCHASES @ COST-REMAINDERS</v>
      </c>
      <c r="C102" s="11"/>
      <c r="D102" s="2"/>
      <c r="E102" s="2"/>
      <c r="F102" s="19">
        <f t="shared" si="8"/>
        <v>0</v>
      </c>
      <c r="G102" s="2"/>
      <c r="H102" s="2"/>
      <c r="I102" s="2"/>
      <c r="J102" s="19">
        <f t="shared" si="9"/>
        <v>0</v>
      </c>
      <c r="K102" s="2"/>
      <c r="L102" s="2">
        <f t="shared" si="10"/>
        <v>0</v>
      </c>
      <c r="M102" s="2"/>
      <c r="N102" s="19">
        <f t="shared" si="11"/>
        <v>0</v>
      </c>
      <c r="O102" s="11"/>
      <c r="P102" s="2">
        <v>111.57</v>
      </c>
      <c r="Q102" s="2"/>
      <c r="R102" s="19">
        <f t="shared" si="12"/>
        <v>1.5658017073433333E-5</v>
      </c>
      <c r="S102" s="2"/>
      <c r="T102" s="2"/>
      <c r="U102" s="2"/>
      <c r="V102" s="19">
        <f t="shared" si="13"/>
        <v>0</v>
      </c>
      <c r="W102" s="2"/>
      <c r="X102" s="2">
        <f t="shared" si="14"/>
        <v>111.57</v>
      </c>
      <c r="Y102" s="2"/>
      <c r="Z102" s="19">
        <f t="shared" si="15"/>
        <v>0</v>
      </c>
    </row>
    <row r="103" spans="1:26" s="24" customFormat="1" hidden="1" outlineLevel="1" x14ac:dyDescent="0.25">
      <c r="A103" s="44"/>
      <c r="B103" s="11" t="str">
        <f>CONCATENATE("          ", "5018", " - ", "PURCHASES @ COST-STUDY GUIDES")</f>
        <v xml:space="preserve">          5018 - PURCHASES @ COST-STUDY GUIDES</v>
      </c>
      <c r="C103" s="11"/>
      <c r="D103" s="2"/>
      <c r="E103" s="2"/>
      <c r="F103" s="19">
        <f t="shared" si="8"/>
        <v>0</v>
      </c>
      <c r="G103" s="2"/>
      <c r="H103" s="2"/>
      <c r="I103" s="2"/>
      <c r="J103" s="19">
        <f t="shared" si="9"/>
        <v>0</v>
      </c>
      <c r="K103" s="2"/>
      <c r="L103" s="2">
        <f t="shared" si="10"/>
        <v>0</v>
      </c>
      <c r="M103" s="2"/>
      <c r="N103" s="19">
        <f t="shared" si="11"/>
        <v>0</v>
      </c>
      <c r="O103" s="11"/>
      <c r="P103" s="2">
        <v>967.21</v>
      </c>
      <c r="Q103" s="2"/>
      <c r="R103" s="19">
        <f t="shared" si="12"/>
        <v>1.3574070712194547E-4</v>
      </c>
      <c r="S103" s="2"/>
      <c r="T103" s="2"/>
      <c r="U103" s="2"/>
      <c r="V103" s="19">
        <f t="shared" si="13"/>
        <v>0</v>
      </c>
      <c r="W103" s="2"/>
      <c r="X103" s="2">
        <f t="shared" si="14"/>
        <v>967.21</v>
      </c>
      <c r="Y103" s="2"/>
      <c r="Z103" s="19">
        <f t="shared" si="15"/>
        <v>0</v>
      </c>
    </row>
    <row r="104" spans="1:26" s="24" customFormat="1" hidden="1" outlineLevel="1" x14ac:dyDescent="0.25">
      <c r="A104" s="44"/>
      <c r="B104" s="11" t="str">
        <f>CONCATENATE("          ", "5025", " - ", "PURCHASES @ COST-TEST FORMS")</f>
        <v xml:space="preserve">          5025 - PURCHASES @ COST-TEST FORMS</v>
      </c>
      <c r="C104" s="11"/>
      <c r="D104" s="2"/>
      <c r="E104" s="2"/>
      <c r="F104" s="19">
        <f t="shared" si="8"/>
        <v>0</v>
      </c>
      <c r="G104" s="2"/>
      <c r="H104" s="2"/>
      <c r="I104" s="2"/>
      <c r="J104" s="19">
        <f t="shared" si="9"/>
        <v>0</v>
      </c>
      <c r="K104" s="2"/>
      <c r="L104" s="2">
        <f t="shared" si="10"/>
        <v>0</v>
      </c>
      <c r="M104" s="2"/>
      <c r="N104" s="19">
        <f t="shared" si="11"/>
        <v>0</v>
      </c>
      <c r="O104" s="11"/>
      <c r="P104" s="2">
        <v>599.29</v>
      </c>
      <c r="Q104" s="2"/>
      <c r="R104" s="19">
        <f t="shared" si="12"/>
        <v>8.4105880182287917E-5</v>
      </c>
      <c r="S104" s="2"/>
      <c r="T104" s="2"/>
      <c r="U104" s="2"/>
      <c r="V104" s="19">
        <f t="shared" si="13"/>
        <v>0</v>
      </c>
      <c r="W104" s="2"/>
      <c r="X104" s="2">
        <f t="shared" si="14"/>
        <v>599.29</v>
      </c>
      <c r="Y104" s="2"/>
      <c r="Z104" s="19">
        <f t="shared" si="15"/>
        <v>0</v>
      </c>
    </row>
    <row r="105" spans="1:26" s="24" customFormat="1" hidden="1" outlineLevel="1" x14ac:dyDescent="0.25">
      <c r="A105" s="44"/>
      <c r="B105" s="11" t="str">
        <f>CONCATENATE("          ", "5026", " - ", "PURCHASES @ COST-WRITING INSTR")</f>
        <v xml:space="preserve">          5026 - PURCHASES @ COST-WRITING INSTR</v>
      </c>
      <c r="C105" s="11"/>
      <c r="D105" s="2"/>
      <c r="E105" s="2"/>
      <c r="F105" s="19">
        <f t="shared" si="8"/>
        <v>0</v>
      </c>
      <c r="G105" s="2"/>
      <c r="H105" s="2"/>
      <c r="I105" s="2"/>
      <c r="J105" s="19">
        <f t="shared" si="9"/>
        <v>0</v>
      </c>
      <c r="K105" s="2"/>
      <c r="L105" s="2">
        <f t="shared" si="10"/>
        <v>0</v>
      </c>
      <c r="M105" s="2"/>
      <c r="N105" s="19">
        <f t="shared" si="11"/>
        <v>0</v>
      </c>
      <c r="O105" s="11"/>
      <c r="P105" s="2">
        <v>584.54999999999995</v>
      </c>
      <c r="Q105" s="2"/>
      <c r="R105" s="19">
        <f t="shared" si="12"/>
        <v>8.2037231157797399E-5</v>
      </c>
      <c r="S105" s="2"/>
      <c r="T105" s="2"/>
      <c r="U105" s="2"/>
      <c r="V105" s="19">
        <f t="shared" si="13"/>
        <v>0</v>
      </c>
      <c r="W105" s="2"/>
      <c r="X105" s="2">
        <f t="shared" si="14"/>
        <v>584.54999999999995</v>
      </c>
      <c r="Y105" s="2"/>
      <c r="Z105" s="19">
        <f t="shared" si="15"/>
        <v>0</v>
      </c>
    </row>
    <row r="106" spans="1:26" s="24" customFormat="1" hidden="1" outlineLevel="1" x14ac:dyDescent="0.25">
      <c r="A106" s="44"/>
      <c r="B106" s="11" t="str">
        <f>CONCATENATE("          ", "5027", " - ", "PURCHASES @ COST-SCHOOL SUPPLI")</f>
        <v xml:space="preserve">          5027 - PURCHASES @ COST-SCHOOL SUPPLI</v>
      </c>
      <c r="C106" s="11"/>
      <c r="D106" s="2">
        <v>1838.72</v>
      </c>
      <c r="E106" s="2"/>
      <c r="F106" s="19">
        <f t="shared" si="8"/>
        <v>2.1845477864778948E-3</v>
      </c>
      <c r="G106" s="2"/>
      <c r="H106" s="2"/>
      <c r="I106" s="2"/>
      <c r="J106" s="19">
        <f t="shared" si="9"/>
        <v>0</v>
      </c>
      <c r="K106" s="2"/>
      <c r="L106" s="2">
        <f t="shared" si="10"/>
        <v>1838.72</v>
      </c>
      <c r="M106" s="2"/>
      <c r="N106" s="19">
        <f t="shared" si="11"/>
        <v>0</v>
      </c>
      <c r="O106" s="11"/>
      <c r="P106" s="2">
        <v>23734.6</v>
      </c>
      <c r="Q106" s="2"/>
      <c r="R106" s="19">
        <f t="shared" si="12"/>
        <v>3.3309740255544574E-3</v>
      </c>
      <c r="S106" s="2"/>
      <c r="T106" s="2"/>
      <c r="U106" s="2"/>
      <c r="V106" s="19">
        <f t="shared" si="13"/>
        <v>0</v>
      </c>
      <c r="W106" s="2"/>
      <c r="X106" s="2">
        <f t="shared" si="14"/>
        <v>23734.6</v>
      </c>
      <c r="Y106" s="2"/>
      <c r="Z106" s="19">
        <f t="shared" si="15"/>
        <v>0</v>
      </c>
    </row>
    <row r="107" spans="1:26" s="24" customFormat="1" hidden="1" outlineLevel="1" x14ac:dyDescent="0.25">
      <c r="A107" s="44"/>
      <c r="B107" s="11" t="str">
        <f>CONCATENATE("          ", "5028", " - ", "PURCHASES @ COST-ART/TECH")</f>
        <v xml:space="preserve">          5028 - PURCHASES @ COST-ART/TECH</v>
      </c>
      <c r="C107" s="11"/>
      <c r="D107" s="2">
        <v>1371.26</v>
      </c>
      <c r="E107" s="2"/>
      <c r="F107" s="19">
        <f t="shared" si="8"/>
        <v>1.6291675718356673E-3</v>
      </c>
      <c r="G107" s="2"/>
      <c r="H107" s="2"/>
      <c r="I107" s="2"/>
      <c r="J107" s="19">
        <f t="shared" si="9"/>
        <v>0</v>
      </c>
      <c r="K107" s="2"/>
      <c r="L107" s="2">
        <f t="shared" si="10"/>
        <v>1371.26</v>
      </c>
      <c r="M107" s="2"/>
      <c r="N107" s="19">
        <f t="shared" si="11"/>
        <v>0</v>
      </c>
      <c r="O107" s="11"/>
      <c r="P107" s="2">
        <v>47006.62</v>
      </c>
      <c r="Q107" s="2"/>
      <c r="R107" s="19">
        <f t="shared" si="12"/>
        <v>6.5970283994298906E-3</v>
      </c>
      <c r="S107" s="2"/>
      <c r="T107" s="2"/>
      <c r="U107" s="2"/>
      <c r="V107" s="19">
        <f t="shared" si="13"/>
        <v>0</v>
      </c>
      <c r="W107" s="2"/>
      <c r="X107" s="2">
        <f t="shared" si="14"/>
        <v>47006.62</v>
      </c>
      <c r="Y107" s="2"/>
      <c r="Z107" s="19">
        <f t="shared" si="15"/>
        <v>0</v>
      </c>
    </row>
    <row r="108" spans="1:26" s="24" customFormat="1" hidden="1" outlineLevel="1" x14ac:dyDescent="0.25">
      <c r="A108" s="44"/>
      <c r="B108" s="11" t="str">
        <f>CONCATENATE("          ", "5031", " - ", "PURCHASES @ COST-FOOD")</f>
        <v xml:space="preserve">          5031 - PURCHASES @ COST-FOOD</v>
      </c>
      <c r="C108" s="11"/>
      <c r="D108" s="2"/>
      <c r="E108" s="2"/>
      <c r="F108" s="19">
        <f t="shared" si="8"/>
        <v>0</v>
      </c>
      <c r="G108" s="2"/>
      <c r="H108" s="2"/>
      <c r="I108" s="2"/>
      <c r="J108" s="19">
        <f t="shared" si="9"/>
        <v>0</v>
      </c>
      <c r="K108" s="2"/>
      <c r="L108" s="2">
        <f t="shared" si="10"/>
        <v>0</v>
      </c>
      <c r="M108" s="2"/>
      <c r="N108" s="19">
        <f t="shared" si="11"/>
        <v>0</v>
      </c>
      <c r="O108" s="11"/>
      <c r="P108" s="2">
        <v>7785.72</v>
      </c>
      <c r="Q108" s="2"/>
      <c r="R108" s="19">
        <f t="shared" si="12"/>
        <v>1.0926677125479196E-3</v>
      </c>
      <c r="S108" s="2"/>
      <c r="T108" s="2"/>
      <c r="U108" s="2"/>
      <c r="V108" s="19">
        <f t="shared" si="13"/>
        <v>0</v>
      </c>
      <c r="W108" s="2"/>
      <c r="X108" s="2">
        <f t="shared" si="14"/>
        <v>7785.72</v>
      </c>
      <c r="Y108" s="2"/>
      <c r="Z108" s="19">
        <f t="shared" si="15"/>
        <v>0</v>
      </c>
    </row>
    <row r="109" spans="1:26" s="24" customFormat="1" hidden="1" outlineLevel="1" x14ac:dyDescent="0.25">
      <c r="A109" s="44"/>
      <c r="B109" s="11" t="str">
        <f>CONCATENATE("          ", "5040", " - ", "PURCHASES @ COST-LOGO CLOTHING")</f>
        <v xml:space="preserve">          5040 - PURCHASES @ COST-LOGO CLOTHING</v>
      </c>
      <c r="C109" s="11"/>
      <c r="D109" s="2">
        <v>39218.65</v>
      </c>
      <c r="E109" s="2"/>
      <c r="F109" s="19">
        <f t="shared" si="8"/>
        <v>4.6594922036063836E-2</v>
      </c>
      <c r="G109" s="2"/>
      <c r="H109" s="2"/>
      <c r="I109" s="2"/>
      <c r="J109" s="19">
        <f t="shared" si="9"/>
        <v>0</v>
      </c>
      <c r="K109" s="2"/>
      <c r="L109" s="2">
        <f t="shared" si="10"/>
        <v>39218.65</v>
      </c>
      <c r="M109" s="2"/>
      <c r="N109" s="19">
        <f t="shared" si="11"/>
        <v>0</v>
      </c>
      <c r="O109" s="11"/>
      <c r="P109" s="2">
        <v>279090.25</v>
      </c>
      <c r="Q109" s="2"/>
      <c r="R109" s="19">
        <f t="shared" si="12"/>
        <v>3.9168234288148945E-2</v>
      </c>
      <c r="S109" s="2"/>
      <c r="T109" s="2"/>
      <c r="U109" s="2"/>
      <c r="V109" s="19">
        <f t="shared" si="13"/>
        <v>0</v>
      </c>
      <c r="W109" s="2"/>
      <c r="X109" s="2">
        <f t="shared" si="14"/>
        <v>279090.25</v>
      </c>
      <c r="Y109" s="2"/>
      <c r="Z109" s="19">
        <f t="shared" si="15"/>
        <v>0</v>
      </c>
    </row>
    <row r="110" spans="1:26" s="24" customFormat="1" hidden="1" outlineLevel="1" x14ac:dyDescent="0.25">
      <c r="A110" s="44"/>
      <c r="B110" s="11" t="str">
        <f>CONCATENATE("          ", "5041", " - ", "PURCHASES @ COST-LOGO GIFTS")</f>
        <v xml:space="preserve">          5041 - PURCHASES @ COST-LOGO GIFTS</v>
      </c>
      <c r="C110" s="11"/>
      <c r="D110" s="2">
        <v>15798.51</v>
      </c>
      <c r="E110" s="2"/>
      <c r="F110" s="19">
        <f t="shared" si="8"/>
        <v>1.8769905178683478E-2</v>
      </c>
      <c r="G110" s="2"/>
      <c r="H110" s="2"/>
      <c r="I110" s="2"/>
      <c r="J110" s="19">
        <f t="shared" si="9"/>
        <v>0</v>
      </c>
      <c r="K110" s="2"/>
      <c r="L110" s="2">
        <f t="shared" si="10"/>
        <v>15798.51</v>
      </c>
      <c r="M110" s="2"/>
      <c r="N110" s="19">
        <f t="shared" si="11"/>
        <v>0</v>
      </c>
      <c r="O110" s="11"/>
      <c r="P110" s="2">
        <v>84261.95</v>
      </c>
      <c r="Q110" s="2"/>
      <c r="R110" s="19">
        <f t="shared" si="12"/>
        <v>1.1825536001978901E-2</v>
      </c>
      <c r="S110" s="2"/>
      <c r="T110" s="2"/>
      <c r="U110" s="2"/>
      <c r="V110" s="19">
        <f t="shared" si="13"/>
        <v>0</v>
      </c>
      <c r="W110" s="2"/>
      <c r="X110" s="2">
        <f t="shared" si="14"/>
        <v>84261.95</v>
      </c>
      <c r="Y110" s="2"/>
      <c r="Z110" s="19">
        <f t="shared" si="15"/>
        <v>0</v>
      </c>
    </row>
    <row r="111" spans="1:26" s="24" customFormat="1" hidden="1" outlineLevel="1" x14ac:dyDescent="0.25">
      <c r="A111" s="44"/>
      <c r="B111" s="11" t="str">
        <f>CONCATENATE("          ", "5042", " - ", "PURCHASES @ COST-EVERYDAY GIFT")</f>
        <v xml:space="preserve">          5042 - PURCHASES @ COST-EVERYDAY GIFT</v>
      </c>
      <c r="C111" s="11"/>
      <c r="D111" s="2"/>
      <c r="E111" s="2"/>
      <c r="F111" s="19">
        <f t="shared" si="8"/>
        <v>0</v>
      </c>
      <c r="G111" s="2"/>
      <c r="H111" s="2"/>
      <c r="I111" s="2"/>
      <c r="J111" s="19">
        <f t="shared" si="9"/>
        <v>0</v>
      </c>
      <c r="K111" s="2"/>
      <c r="L111" s="2">
        <f t="shared" si="10"/>
        <v>0</v>
      </c>
      <c r="M111" s="2"/>
      <c r="N111" s="19">
        <f t="shared" si="11"/>
        <v>0</v>
      </c>
      <c r="O111" s="11"/>
      <c r="P111" s="2">
        <v>18748.18</v>
      </c>
      <c r="Q111" s="2"/>
      <c r="R111" s="19">
        <f t="shared" si="12"/>
        <v>2.6311671823590695E-3</v>
      </c>
      <c r="S111" s="2"/>
      <c r="T111" s="2"/>
      <c r="U111" s="2"/>
      <c r="V111" s="19">
        <f t="shared" si="13"/>
        <v>0</v>
      </c>
      <c r="W111" s="2"/>
      <c r="X111" s="2">
        <f t="shared" si="14"/>
        <v>18748.18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"5043", " - ", "PURCHASES @ COST-CARDS")</f>
        <v xml:space="preserve">          5043 - PURCHASES @ COST-CARDS</v>
      </c>
      <c r="C112" s="11"/>
      <c r="D112" s="2">
        <v>41</v>
      </c>
      <c r="E112" s="2"/>
      <c r="F112" s="19">
        <f t="shared" si="8"/>
        <v>4.8711309631479339E-5</v>
      </c>
      <c r="G112" s="2"/>
      <c r="H112" s="2"/>
      <c r="I112" s="2"/>
      <c r="J112" s="19">
        <f t="shared" si="9"/>
        <v>0</v>
      </c>
      <c r="K112" s="2"/>
      <c r="L112" s="2">
        <f t="shared" si="10"/>
        <v>41</v>
      </c>
      <c r="M112" s="2"/>
      <c r="N112" s="19">
        <f t="shared" si="11"/>
        <v>0</v>
      </c>
      <c r="O112" s="11"/>
      <c r="P112" s="2">
        <v>55405.33</v>
      </c>
      <c r="Q112" s="2"/>
      <c r="R112" s="19">
        <f t="shared" si="12"/>
        <v>7.7757246849440549E-3</v>
      </c>
      <c r="S112" s="2"/>
      <c r="T112" s="2"/>
      <c r="U112" s="2"/>
      <c r="V112" s="19">
        <f t="shared" si="13"/>
        <v>0</v>
      </c>
      <c r="W112" s="2"/>
      <c r="X112" s="2">
        <f t="shared" si="14"/>
        <v>55405.33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"5044", " - ", "PURCHASES @ COST-ACCESSORIES")</f>
        <v xml:space="preserve">          5044 - PURCHASES @ COST-ACCESSORIES</v>
      </c>
      <c r="C113" s="11"/>
      <c r="D113" s="2">
        <v>1490.88</v>
      </c>
      <c r="E113" s="2"/>
      <c r="F113" s="19">
        <f t="shared" si="8"/>
        <v>1.7712857878873151E-3</v>
      </c>
      <c r="G113" s="2"/>
      <c r="H113" s="2"/>
      <c r="I113" s="2"/>
      <c r="J113" s="19">
        <f t="shared" si="9"/>
        <v>0</v>
      </c>
      <c r="K113" s="2"/>
      <c r="L113" s="2">
        <f t="shared" si="10"/>
        <v>1490.88</v>
      </c>
      <c r="M113" s="2"/>
      <c r="N113" s="19">
        <f t="shared" si="11"/>
        <v>0</v>
      </c>
      <c r="O113" s="11"/>
      <c r="P113" s="2">
        <v>2555.71</v>
      </c>
      <c r="Q113" s="2"/>
      <c r="R113" s="19">
        <f t="shared" si="12"/>
        <v>3.586748302836274E-4</v>
      </c>
      <c r="S113" s="2"/>
      <c r="T113" s="2"/>
      <c r="U113" s="2"/>
      <c r="V113" s="19">
        <f t="shared" si="13"/>
        <v>0</v>
      </c>
      <c r="W113" s="2"/>
      <c r="X113" s="2">
        <f t="shared" si="14"/>
        <v>2555.71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"5045", " - ", "PURCHASES @ COST-SPECIAL ORDER")</f>
        <v xml:space="preserve">          5045 - PURCHASES @ COST-SPECIAL ORDER</v>
      </c>
      <c r="C114" s="11"/>
      <c r="D114" s="2">
        <v>5771.38</v>
      </c>
      <c r="E114" s="2"/>
      <c r="F114" s="19">
        <f t="shared" si="8"/>
        <v>6.8568653214860298E-3</v>
      </c>
      <c r="G114" s="2"/>
      <c r="H114" s="2"/>
      <c r="I114" s="2"/>
      <c r="J114" s="19">
        <f t="shared" si="9"/>
        <v>0</v>
      </c>
      <c r="K114" s="2"/>
      <c r="L114" s="2">
        <f t="shared" si="10"/>
        <v>5771.38</v>
      </c>
      <c r="M114" s="2"/>
      <c r="N114" s="19">
        <f t="shared" si="11"/>
        <v>0</v>
      </c>
      <c r="O114" s="11"/>
      <c r="P114" s="2">
        <v>114998.07</v>
      </c>
      <c r="Q114" s="2"/>
      <c r="R114" s="19">
        <f t="shared" si="12"/>
        <v>1.6139121121017137E-2</v>
      </c>
      <c r="S114" s="2"/>
      <c r="T114" s="2"/>
      <c r="U114" s="2"/>
      <c r="V114" s="19">
        <f t="shared" si="13"/>
        <v>0</v>
      </c>
      <c r="W114" s="2"/>
      <c r="X114" s="2">
        <f t="shared" si="14"/>
        <v>114998.07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"5081", " - ", "PURCHASES @ COST-ELECTRONICS")</f>
        <v xml:space="preserve">          5081 - PURCHASES @ COST-ELECTRONICS</v>
      </c>
      <c r="C115" s="11"/>
      <c r="D115" s="2">
        <v>-19.5</v>
      </c>
      <c r="E115" s="2"/>
      <c r="F115" s="19">
        <f t="shared" si="8"/>
        <v>-2.3167574093020661E-5</v>
      </c>
      <c r="G115" s="2"/>
      <c r="H115" s="2"/>
      <c r="I115" s="2"/>
      <c r="J115" s="19">
        <f t="shared" si="9"/>
        <v>0</v>
      </c>
      <c r="K115" s="2"/>
      <c r="L115" s="2">
        <f t="shared" si="10"/>
        <v>-19.5</v>
      </c>
      <c r="M115" s="2"/>
      <c r="N115" s="19">
        <f t="shared" si="11"/>
        <v>0</v>
      </c>
      <c r="O115" s="11"/>
      <c r="P115" s="2">
        <v>32448.37</v>
      </c>
      <c r="Q115" s="2"/>
      <c r="R115" s="19">
        <f t="shared" si="12"/>
        <v>4.5538866313980641E-3</v>
      </c>
      <c r="S115" s="2"/>
      <c r="T115" s="2"/>
      <c r="U115" s="2"/>
      <c r="V115" s="19">
        <f t="shared" si="13"/>
        <v>0</v>
      </c>
      <c r="W115" s="2"/>
      <c r="X115" s="2">
        <f t="shared" si="14"/>
        <v>32448.37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"5082", " - ", "PURCHASES @ COST-COMPUTER HARD")</f>
        <v xml:space="preserve">          5082 - PURCHASES @ COST-COMPUTER HARD</v>
      </c>
      <c r="C116" s="11"/>
      <c r="D116" s="2">
        <v>277047.03999999998</v>
      </c>
      <c r="E116" s="2"/>
      <c r="F116" s="19">
        <f t="shared" si="8"/>
        <v>0.32915424751036199</v>
      </c>
      <c r="G116" s="2"/>
      <c r="H116" s="2"/>
      <c r="I116" s="2"/>
      <c r="J116" s="19">
        <f t="shared" si="9"/>
        <v>0</v>
      </c>
      <c r="K116" s="2"/>
      <c r="L116" s="2">
        <f t="shared" si="10"/>
        <v>277047.03999999998</v>
      </c>
      <c r="M116" s="2"/>
      <c r="N116" s="19">
        <f t="shared" si="11"/>
        <v>0</v>
      </c>
      <c r="O116" s="11"/>
      <c r="P116" s="2">
        <v>1673340.8</v>
      </c>
      <c r="Q116" s="2"/>
      <c r="R116" s="19">
        <f t="shared" si="12"/>
        <v>0.23484089644234649</v>
      </c>
      <c r="S116" s="2"/>
      <c r="T116" s="2"/>
      <c r="U116" s="2"/>
      <c r="V116" s="19">
        <f t="shared" si="13"/>
        <v>0</v>
      </c>
      <c r="W116" s="2"/>
      <c r="X116" s="2">
        <f t="shared" si="14"/>
        <v>1673340.8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"5083", " - ", "PURCHASES @ COST-COMPUTER EQUI")</f>
        <v xml:space="preserve">          5083 - PURCHASES @ COST-COMPUTER EQUI</v>
      </c>
      <c r="C117" s="11"/>
      <c r="D117" s="2">
        <v>14312.16</v>
      </c>
      <c r="E117" s="2"/>
      <c r="F117" s="19">
        <f t="shared" si="8"/>
        <v>1.700400139647008E-2</v>
      </c>
      <c r="G117" s="2"/>
      <c r="H117" s="2"/>
      <c r="I117" s="2"/>
      <c r="J117" s="19">
        <f t="shared" si="9"/>
        <v>0</v>
      </c>
      <c r="K117" s="2"/>
      <c r="L117" s="2">
        <f t="shared" si="10"/>
        <v>14312.16</v>
      </c>
      <c r="M117" s="2"/>
      <c r="N117" s="19">
        <f t="shared" si="11"/>
        <v>0</v>
      </c>
      <c r="O117" s="11"/>
      <c r="P117" s="2">
        <v>119515.49</v>
      </c>
      <c r="Q117" s="2"/>
      <c r="R117" s="19">
        <f t="shared" si="12"/>
        <v>1.6773107313433282E-2</v>
      </c>
      <c r="S117" s="2"/>
      <c r="T117" s="2"/>
      <c r="U117" s="2"/>
      <c r="V117" s="19">
        <f t="shared" si="13"/>
        <v>0</v>
      </c>
      <c r="W117" s="2"/>
      <c r="X117" s="2">
        <f t="shared" si="14"/>
        <v>119515.49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"5085", " - ", "PURCHASES @ COST-SOFTWARE")</f>
        <v xml:space="preserve">          5085 - PURCHASES @ COST-SOFTWARE</v>
      </c>
      <c r="C118" s="11"/>
      <c r="D118" s="2">
        <v>4012.17</v>
      </c>
      <c r="E118" s="2"/>
      <c r="F118" s="19">
        <f t="shared" si="8"/>
        <v>4.7667818332715233E-3</v>
      </c>
      <c r="G118" s="2"/>
      <c r="H118" s="2"/>
      <c r="I118" s="2"/>
      <c r="J118" s="19">
        <f t="shared" si="9"/>
        <v>0</v>
      </c>
      <c r="K118" s="2"/>
      <c r="L118" s="2">
        <f t="shared" si="10"/>
        <v>4012.17</v>
      </c>
      <c r="M118" s="2"/>
      <c r="N118" s="19">
        <f t="shared" si="11"/>
        <v>0</v>
      </c>
      <c r="O118" s="11"/>
      <c r="P118" s="2">
        <v>37910.879999999997</v>
      </c>
      <c r="Q118" s="2"/>
      <c r="R118" s="19">
        <f t="shared" si="12"/>
        <v>5.3205091539740281E-3</v>
      </c>
      <c r="S118" s="2"/>
      <c r="T118" s="2"/>
      <c r="U118" s="2"/>
      <c r="V118" s="19">
        <f t="shared" si="13"/>
        <v>0</v>
      </c>
      <c r="W118" s="2"/>
      <c r="X118" s="2">
        <f t="shared" si="14"/>
        <v>37910.879999999997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"5086", " - ", "PURCHASES @ COST-COMPUTER SUPP")</f>
        <v xml:space="preserve">          5086 - PURCHASES @ COST-COMPUTER SUPP</v>
      </c>
      <c r="C119" s="11"/>
      <c r="D119" s="2">
        <v>28.4</v>
      </c>
      <c r="E119" s="2"/>
      <c r="F119" s="19">
        <f t="shared" si="8"/>
        <v>3.3741492525219835E-5</v>
      </c>
      <c r="G119" s="2"/>
      <c r="H119" s="2"/>
      <c r="I119" s="2"/>
      <c r="J119" s="19">
        <f t="shared" si="9"/>
        <v>0</v>
      </c>
      <c r="K119" s="2"/>
      <c r="L119" s="2">
        <f t="shared" si="10"/>
        <v>28.4</v>
      </c>
      <c r="M119" s="2"/>
      <c r="N119" s="19">
        <f t="shared" si="11"/>
        <v>0</v>
      </c>
      <c r="O119" s="11"/>
      <c r="P119" s="2">
        <v>23692.6</v>
      </c>
      <c r="Q119" s="2"/>
      <c r="R119" s="19">
        <f t="shared" si="12"/>
        <v>3.3250796389175104E-3</v>
      </c>
      <c r="S119" s="2"/>
      <c r="T119" s="2"/>
      <c r="U119" s="2"/>
      <c r="V119" s="19">
        <f t="shared" si="13"/>
        <v>0</v>
      </c>
      <c r="W119" s="2"/>
      <c r="X119" s="2">
        <f t="shared" si="14"/>
        <v>23692.6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"5092", " - ", "PURCHASES @ COST-GRAD MERCH")</f>
        <v xml:space="preserve">          5092 - PURCHASES @ COST-GRAD MERCH</v>
      </c>
      <c r="C120" s="11"/>
      <c r="D120" s="2"/>
      <c r="E120" s="2"/>
      <c r="F120" s="19">
        <f t="shared" si="8"/>
        <v>0</v>
      </c>
      <c r="G120" s="2"/>
      <c r="H120" s="2"/>
      <c r="I120" s="2"/>
      <c r="J120" s="19">
        <f t="shared" si="9"/>
        <v>0</v>
      </c>
      <c r="K120" s="2"/>
      <c r="L120" s="2">
        <f t="shared" si="10"/>
        <v>0</v>
      </c>
      <c r="M120" s="2"/>
      <c r="N120" s="19">
        <f t="shared" si="11"/>
        <v>0</v>
      </c>
      <c r="O120" s="11"/>
      <c r="P120" s="2">
        <v>0</v>
      </c>
      <c r="Q120" s="2"/>
      <c r="R120" s="19">
        <f t="shared" si="12"/>
        <v>0</v>
      </c>
      <c r="S120" s="2"/>
      <c r="T120" s="2"/>
      <c r="U120" s="2"/>
      <c r="V120" s="19">
        <f t="shared" si="13"/>
        <v>0</v>
      </c>
      <c r="W120" s="2"/>
      <c r="X120" s="2">
        <f t="shared" si="14"/>
        <v>0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"5200", " - ", "PURCHASES OFFSET")</f>
        <v xml:space="preserve">          5200 - PURCHASES OFFSET</v>
      </c>
      <c r="C121" s="11"/>
      <c r="D121" s="2">
        <v>-216816.48</v>
      </c>
      <c r="E121" s="2"/>
      <c r="F121" s="19">
        <f t="shared" si="8"/>
        <v>-0.25759548025579143</v>
      </c>
      <c r="G121" s="2"/>
      <c r="H121" s="2"/>
      <c r="I121" s="2"/>
      <c r="J121" s="19">
        <f t="shared" si="9"/>
        <v>0</v>
      </c>
      <c r="K121" s="2"/>
      <c r="L121" s="2">
        <f t="shared" si="10"/>
        <v>-216816.48</v>
      </c>
      <c r="M121" s="2"/>
      <c r="N121" s="19">
        <f t="shared" si="11"/>
        <v>0</v>
      </c>
      <c r="O121" s="11"/>
      <c r="P121" s="2">
        <v>-3568766.21</v>
      </c>
      <c r="Q121" s="2"/>
      <c r="R121" s="19">
        <f t="shared" si="12"/>
        <v>-0.50084971091935082</v>
      </c>
      <c r="S121" s="2"/>
      <c r="T121" s="2"/>
      <c r="U121" s="2"/>
      <c r="V121" s="19">
        <f t="shared" si="13"/>
        <v>0</v>
      </c>
      <c r="W121" s="2"/>
      <c r="X121" s="2">
        <f t="shared" si="14"/>
        <v>-3568766.21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"5300", " - ", "COG$ OFFSET")</f>
        <v xml:space="preserve">          5300 - COG$ OFFSET</v>
      </c>
      <c r="C122" s="11"/>
      <c r="D122" s="2">
        <v>592301</v>
      </c>
      <c r="E122" s="2"/>
      <c r="F122" s="19">
        <f t="shared" si="8"/>
        <v>0.70370140014719129</v>
      </c>
      <c r="G122" s="2"/>
      <c r="H122" s="2"/>
      <c r="I122" s="2"/>
      <c r="J122" s="19">
        <f t="shared" si="9"/>
        <v>0</v>
      </c>
      <c r="K122" s="2"/>
      <c r="L122" s="2">
        <f t="shared" si="10"/>
        <v>592301</v>
      </c>
      <c r="M122" s="2"/>
      <c r="N122" s="19">
        <f t="shared" si="11"/>
        <v>0</v>
      </c>
      <c r="O122" s="11"/>
      <c r="P122" s="2">
        <v>4630385</v>
      </c>
      <c r="Q122" s="2"/>
      <c r="R122" s="19">
        <f t="shared" si="12"/>
        <v>0.64983998733144765</v>
      </c>
      <c r="S122" s="2"/>
      <c r="T122" s="2"/>
      <c r="U122" s="2"/>
      <c r="V122" s="19">
        <f t="shared" si="13"/>
        <v>0</v>
      </c>
      <c r="W122" s="2"/>
      <c r="X122" s="2">
        <f t="shared" si="14"/>
        <v>4630385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"5500", " - ", "FREIGHT-IN")</f>
        <v xml:space="preserve">          5500 - FREIGHT-IN</v>
      </c>
      <c r="C123" s="11"/>
      <c r="D123" s="2"/>
      <c r="E123" s="2"/>
      <c r="F123" s="19">
        <f t="shared" si="8"/>
        <v>0</v>
      </c>
      <c r="G123" s="2"/>
      <c r="H123" s="2"/>
      <c r="I123" s="2"/>
      <c r="J123" s="19">
        <f t="shared" si="9"/>
        <v>0</v>
      </c>
      <c r="K123" s="2"/>
      <c r="L123" s="2">
        <f t="shared" si="10"/>
        <v>0</v>
      </c>
      <c r="M123" s="2"/>
      <c r="N123" s="19">
        <f t="shared" si="11"/>
        <v>0</v>
      </c>
      <c r="O123" s="11"/>
      <c r="P123" s="2">
        <v>0</v>
      </c>
      <c r="Q123" s="2"/>
      <c r="R123" s="19">
        <f t="shared" si="12"/>
        <v>0</v>
      </c>
      <c r="S123" s="2"/>
      <c r="T123" s="2"/>
      <c r="U123" s="2"/>
      <c r="V123" s="19">
        <f t="shared" si="13"/>
        <v>0</v>
      </c>
      <c r="W123" s="2"/>
      <c r="X123" s="2">
        <f t="shared" si="14"/>
        <v>0</v>
      </c>
      <c r="Y123" s="2"/>
      <c r="Z123" s="19">
        <f t="shared" si="15"/>
        <v>0</v>
      </c>
    </row>
    <row r="124" spans="1:26" s="24" customFormat="1" hidden="1" outlineLevel="1" x14ac:dyDescent="0.25">
      <c r="A124" s="44"/>
      <c r="B124" s="11" t="str">
        <f>CONCATENATE("          ", "5501", " - ", "FREIGHT-IN-NEW TEXT")</f>
        <v xml:space="preserve">          5501 - FREIGHT-IN-NEW TEXT</v>
      </c>
      <c r="C124" s="11"/>
      <c r="D124" s="2">
        <v>271.27</v>
      </c>
      <c r="E124" s="2"/>
      <c r="F124" s="19">
        <f t="shared" si="8"/>
        <v>3.2229065765198537E-4</v>
      </c>
      <c r="G124" s="2"/>
      <c r="H124" s="2"/>
      <c r="I124" s="2"/>
      <c r="J124" s="19">
        <f t="shared" si="9"/>
        <v>0</v>
      </c>
      <c r="K124" s="2"/>
      <c r="L124" s="2">
        <f t="shared" si="10"/>
        <v>271.27</v>
      </c>
      <c r="M124" s="2"/>
      <c r="N124" s="19">
        <f t="shared" si="11"/>
        <v>0</v>
      </c>
      <c r="O124" s="11"/>
      <c r="P124" s="2">
        <v>50313.73</v>
      </c>
      <c r="Q124" s="2"/>
      <c r="R124" s="19">
        <f t="shared" si="12"/>
        <v>7.0611566134992833E-3</v>
      </c>
      <c r="S124" s="2"/>
      <c r="T124" s="2"/>
      <c r="U124" s="2"/>
      <c r="V124" s="19">
        <f t="shared" si="13"/>
        <v>0</v>
      </c>
      <c r="W124" s="2"/>
      <c r="X124" s="2">
        <f t="shared" si="14"/>
        <v>50313.73</v>
      </c>
      <c r="Y124" s="2"/>
      <c r="Z124" s="19">
        <f t="shared" si="15"/>
        <v>0</v>
      </c>
    </row>
    <row r="125" spans="1:26" s="24" customFormat="1" hidden="1" outlineLevel="1" x14ac:dyDescent="0.25">
      <c r="A125" s="44"/>
      <c r="B125" s="11" t="str">
        <f>CONCATENATE("          ", "5502", " - ", "FREIGHT-IN-USED TEXT")</f>
        <v xml:space="preserve">          5502 - FREIGHT-IN-USED TEXT</v>
      </c>
      <c r="C125" s="11"/>
      <c r="D125" s="2">
        <v>58.77</v>
      </c>
      <c r="E125" s="2"/>
      <c r="F125" s="19">
        <f t="shared" si="8"/>
        <v>6.982350407419612E-5</v>
      </c>
      <c r="G125" s="2"/>
      <c r="H125" s="2"/>
      <c r="I125" s="2"/>
      <c r="J125" s="19">
        <f t="shared" si="9"/>
        <v>0</v>
      </c>
      <c r="K125" s="2"/>
      <c r="L125" s="2">
        <f t="shared" si="10"/>
        <v>58.77</v>
      </c>
      <c r="M125" s="2"/>
      <c r="N125" s="19">
        <f t="shared" si="11"/>
        <v>0</v>
      </c>
      <c r="O125" s="11"/>
      <c r="P125" s="2">
        <v>17858.900000000001</v>
      </c>
      <c r="Q125" s="2"/>
      <c r="R125" s="19">
        <f t="shared" si="12"/>
        <v>2.506363369299441E-3</v>
      </c>
      <c r="S125" s="2"/>
      <c r="T125" s="2"/>
      <c r="U125" s="2"/>
      <c r="V125" s="19">
        <f t="shared" si="13"/>
        <v>0</v>
      </c>
      <c r="W125" s="2"/>
      <c r="X125" s="2">
        <f t="shared" si="14"/>
        <v>17858.900000000001</v>
      </c>
      <c r="Y125" s="2"/>
      <c r="Z125" s="19">
        <f t="shared" si="15"/>
        <v>0</v>
      </c>
    </row>
    <row r="126" spans="1:26" s="24" customFormat="1" hidden="1" outlineLevel="1" x14ac:dyDescent="0.25">
      <c r="A126" s="44"/>
      <c r="B126" s="11" t="str">
        <f>CONCATENATE("          ", "5504", " - ", "FREIGHT-IN-DIGITAL TEXT")</f>
        <v xml:space="preserve">          5504 - FREIGHT-IN-DIGITAL TEXT</v>
      </c>
      <c r="C126" s="11"/>
      <c r="D126" s="2"/>
      <c r="E126" s="2"/>
      <c r="F126" s="19">
        <f t="shared" si="8"/>
        <v>0</v>
      </c>
      <c r="G126" s="2"/>
      <c r="H126" s="2"/>
      <c r="I126" s="2"/>
      <c r="J126" s="19">
        <f t="shared" si="9"/>
        <v>0</v>
      </c>
      <c r="K126" s="2"/>
      <c r="L126" s="2">
        <f t="shared" si="10"/>
        <v>0</v>
      </c>
      <c r="M126" s="2"/>
      <c r="N126" s="19">
        <f t="shared" si="11"/>
        <v>0</v>
      </c>
      <c r="O126" s="11"/>
      <c r="P126" s="2">
        <v>28.92</v>
      </c>
      <c r="Q126" s="2"/>
      <c r="R126" s="19">
        <f t="shared" si="12"/>
        <v>4.0587062271550786E-6</v>
      </c>
      <c r="S126" s="2"/>
      <c r="T126" s="2"/>
      <c r="U126" s="2"/>
      <c r="V126" s="19">
        <f t="shared" si="13"/>
        <v>0</v>
      </c>
      <c r="W126" s="2"/>
      <c r="X126" s="2">
        <f t="shared" si="14"/>
        <v>28.92</v>
      </c>
      <c r="Y126" s="2"/>
      <c r="Z126" s="19">
        <f t="shared" si="15"/>
        <v>0</v>
      </c>
    </row>
    <row r="127" spans="1:26" s="24" customFormat="1" hidden="1" outlineLevel="1" x14ac:dyDescent="0.25">
      <c r="A127" s="44"/>
      <c r="B127" s="11" t="str">
        <f>CONCATENATE("          ", "5513", " - ", "FREIGHT-IN-TRADE BOOKS")</f>
        <v xml:space="preserve">          5513 - FREIGHT-IN-TRADE BOOKS</v>
      </c>
      <c r="C127" s="11"/>
      <c r="D127" s="2"/>
      <c r="E127" s="2"/>
      <c r="F127" s="19">
        <f t="shared" si="8"/>
        <v>0</v>
      </c>
      <c r="G127" s="2"/>
      <c r="H127" s="2"/>
      <c r="I127" s="2"/>
      <c r="J127" s="19">
        <f t="shared" si="9"/>
        <v>0</v>
      </c>
      <c r="K127" s="2"/>
      <c r="L127" s="2">
        <f t="shared" si="10"/>
        <v>0</v>
      </c>
      <c r="M127" s="2"/>
      <c r="N127" s="19">
        <f t="shared" si="11"/>
        <v>0</v>
      </c>
      <c r="O127" s="11"/>
      <c r="P127" s="2">
        <v>85.28</v>
      </c>
      <c r="Q127" s="2"/>
      <c r="R127" s="19">
        <f t="shared" si="12"/>
        <v>1.1968411723782332E-5</v>
      </c>
      <c r="S127" s="2"/>
      <c r="T127" s="2"/>
      <c r="U127" s="2"/>
      <c r="V127" s="19">
        <f t="shared" si="13"/>
        <v>0</v>
      </c>
      <c r="W127" s="2"/>
      <c r="X127" s="2">
        <f t="shared" si="14"/>
        <v>85.28</v>
      </c>
      <c r="Y127" s="2"/>
      <c r="Z127" s="19">
        <f t="shared" si="15"/>
        <v>0</v>
      </c>
    </row>
    <row r="128" spans="1:26" s="24" customFormat="1" hidden="1" outlineLevel="1" x14ac:dyDescent="0.25">
      <c r="A128" s="44"/>
      <c r="B128" s="11" t="str">
        <f>CONCATENATE("          ", "5525", " - ", "FREIGHT-IN-TEST FORMS")</f>
        <v xml:space="preserve">          5525 - FREIGHT-IN-TEST FORMS</v>
      </c>
      <c r="C128" s="11"/>
      <c r="D128" s="2"/>
      <c r="E128" s="2"/>
      <c r="F128" s="19">
        <f t="shared" si="8"/>
        <v>0</v>
      </c>
      <c r="G128" s="2"/>
      <c r="H128" s="2"/>
      <c r="I128" s="2"/>
      <c r="J128" s="19">
        <f t="shared" si="9"/>
        <v>0</v>
      </c>
      <c r="K128" s="2"/>
      <c r="L128" s="2">
        <f t="shared" si="10"/>
        <v>0</v>
      </c>
      <c r="M128" s="2"/>
      <c r="N128" s="19">
        <f t="shared" si="11"/>
        <v>0</v>
      </c>
      <c r="O128" s="11"/>
      <c r="P128" s="2">
        <v>48.14</v>
      </c>
      <c r="Q128" s="2"/>
      <c r="R128" s="19">
        <f t="shared" si="12"/>
        <v>6.7560898262533007E-6</v>
      </c>
      <c r="S128" s="2"/>
      <c r="T128" s="2"/>
      <c r="U128" s="2"/>
      <c r="V128" s="19">
        <f t="shared" si="13"/>
        <v>0</v>
      </c>
      <c r="W128" s="2"/>
      <c r="X128" s="2">
        <f t="shared" si="14"/>
        <v>48.14</v>
      </c>
      <c r="Y128" s="2"/>
      <c r="Z128" s="19">
        <f t="shared" si="15"/>
        <v>0</v>
      </c>
    </row>
    <row r="129" spans="1:26" s="24" customFormat="1" hidden="1" outlineLevel="1" x14ac:dyDescent="0.25">
      <c r="A129" s="44"/>
      <c r="B129" s="11" t="str">
        <f>CONCATENATE("          ", "5526", " - ", "FREIGHT-IN-WRITING INSTRUMENTS")</f>
        <v xml:space="preserve">          5526 - FREIGHT-IN-WRITING INSTRUMENTS</v>
      </c>
      <c r="C129" s="11"/>
      <c r="D129" s="2"/>
      <c r="E129" s="2"/>
      <c r="F129" s="19">
        <f t="shared" si="8"/>
        <v>0</v>
      </c>
      <c r="G129" s="2"/>
      <c r="H129" s="2"/>
      <c r="I129" s="2"/>
      <c r="J129" s="19">
        <f t="shared" si="9"/>
        <v>0</v>
      </c>
      <c r="K129" s="2"/>
      <c r="L129" s="2">
        <f t="shared" si="10"/>
        <v>0</v>
      </c>
      <c r="M129" s="2"/>
      <c r="N129" s="19">
        <f t="shared" si="11"/>
        <v>0</v>
      </c>
      <c r="O129" s="11"/>
      <c r="P129" s="2">
        <v>0</v>
      </c>
      <c r="Q129" s="2"/>
      <c r="R129" s="19">
        <f t="shared" si="12"/>
        <v>0</v>
      </c>
      <c r="S129" s="2"/>
      <c r="T129" s="2"/>
      <c r="U129" s="2"/>
      <c r="V129" s="19">
        <f t="shared" si="13"/>
        <v>0</v>
      </c>
      <c r="W129" s="2"/>
      <c r="X129" s="2">
        <f t="shared" si="14"/>
        <v>0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"5527", " - ", "FREIGHT-IN-SCHOOL SUPPLIES")</f>
        <v xml:space="preserve">          5527 - FREIGHT-IN-SCHOOL SUPPLIES</v>
      </c>
      <c r="C130" s="11"/>
      <c r="D130" s="2"/>
      <c r="E130" s="2"/>
      <c r="F130" s="19">
        <f t="shared" si="8"/>
        <v>0</v>
      </c>
      <c r="G130" s="2"/>
      <c r="H130" s="2"/>
      <c r="I130" s="2"/>
      <c r="J130" s="19">
        <f t="shared" si="9"/>
        <v>0</v>
      </c>
      <c r="K130" s="2"/>
      <c r="L130" s="2">
        <f t="shared" si="10"/>
        <v>0</v>
      </c>
      <c r="M130" s="2"/>
      <c r="N130" s="19">
        <f t="shared" si="11"/>
        <v>0</v>
      </c>
      <c r="O130" s="11"/>
      <c r="P130" s="2">
        <v>218.62</v>
      </c>
      <c r="Q130" s="2"/>
      <c r="R130" s="19">
        <f t="shared" si="12"/>
        <v>3.068168587069997E-5</v>
      </c>
      <c r="S130" s="2"/>
      <c r="T130" s="2"/>
      <c r="U130" s="2"/>
      <c r="V130" s="19">
        <f t="shared" si="13"/>
        <v>0</v>
      </c>
      <c r="W130" s="2"/>
      <c r="X130" s="2">
        <f t="shared" si="14"/>
        <v>218.62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"5528", " - ", "FREIGHT-IN-ART/TECH")</f>
        <v xml:space="preserve">          5528 - FREIGHT-IN-ART/TECH</v>
      </c>
      <c r="C131" s="11"/>
      <c r="D131" s="2">
        <v>89.22</v>
      </c>
      <c r="E131" s="2"/>
      <c r="F131" s="19">
        <f t="shared" si="8"/>
        <v>1.0600056208098991E-4</v>
      </c>
      <c r="G131" s="2"/>
      <c r="H131" s="2"/>
      <c r="I131" s="2"/>
      <c r="J131" s="19">
        <f t="shared" si="9"/>
        <v>0</v>
      </c>
      <c r="K131" s="2"/>
      <c r="L131" s="2">
        <f t="shared" si="10"/>
        <v>89.22</v>
      </c>
      <c r="M131" s="2"/>
      <c r="N131" s="19">
        <f t="shared" si="11"/>
        <v>0</v>
      </c>
      <c r="O131" s="11"/>
      <c r="P131" s="2">
        <v>544.42999999999995</v>
      </c>
      <c r="Q131" s="2"/>
      <c r="R131" s="19">
        <f t="shared" si="12"/>
        <v>7.6406688494123055E-5</v>
      </c>
      <c r="S131" s="2"/>
      <c r="T131" s="2"/>
      <c r="U131" s="2"/>
      <c r="V131" s="19">
        <f t="shared" si="13"/>
        <v>0</v>
      </c>
      <c r="W131" s="2"/>
      <c r="X131" s="2">
        <f t="shared" si="14"/>
        <v>544.42999999999995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"5540", " - ", "FREIGHT-IN-LOGO CLOTHING")</f>
        <v xml:space="preserve">          5540 - FREIGHT-IN-LOGO CLOTHING</v>
      </c>
      <c r="C132" s="11"/>
      <c r="D132" s="2">
        <v>2107.65</v>
      </c>
      <c r="E132" s="2"/>
      <c r="F132" s="19">
        <f t="shared" si="8"/>
        <v>2.5040583352387178E-3</v>
      </c>
      <c r="G132" s="2"/>
      <c r="H132" s="2"/>
      <c r="I132" s="2"/>
      <c r="J132" s="19">
        <f t="shared" si="9"/>
        <v>0</v>
      </c>
      <c r="K132" s="2"/>
      <c r="L132" s="2">
        <f t="shared" si="10"/>
        <v>2107.65</v>
      </c>
      <c r="M132" s="2"/>
      <c r="N132" s="19">
        <f t="shared" si="11"/>
        <v>0</v>
      </c>
      <c r="O132" s="11"/>
      <c r="P132" s="2">
        <v>9216.02</v>
      </c>
      <c r="Q132" s="2"/>
      <c r="R132" s="19">
        <f t="shared" si="12"/>
        <v>1.2933996460437671E-3</v>
      </c>
      <c r="S132" s="2"/>
      <c r="T132" s="2"/>
      <c r="U132" s="2"/>
      <c r="V132" s="19">
        <f t="shared" si="13"/>
        <v>0</v>
      </c>
      <c r="W132" s="2"/>
      <c r="X132" s="2">
        <f t="shared" si="14"/>
        <v>9216.02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"5541", " - ", "FREIGHT-IN-LOGO GIFTS")</f>
        <v xml:space="preserve">          5541 - FREIGHT-IN-LOGO GIFTS</v>
      </c>
      <c r="C133" s="11"/>
      <c r="D133" s="2">
        <v>2877.99</v>
      </c>
      <c r="E133" s="2"/>
      <c r="F133" s="19">
        <f t="shared" si="8"/>
        <v>3.4192844391780783E-3</v>
      </c>
      <c r="G133" s="2"/>
      <c r="H133" s="2"/>
      <c r="I133" s="2"/>
      <c r="J133" s="19">
        <f t="shared" si="9"/>
        <v>0</v>
      </c>
      <c r="K133" s="2"/>
      <c r="L133" s="2">
        <f t="shared" si="10"/>
        <v>2877.99</v>
      </c>
      <c r="M133" s="2"/>
      <c r="N133" s="19">
        <f t="shared" si="11"/>
        <v>0</v>
      </c>
      <c r="O133" s="11"/>
      <c r="P133" s="2">
        <v>5015.99</v>
      </c>
      <c r="Q133" s="2"/>
      <c r="R133" s="19">
        <f t="shared" si="12"/>
        <v>7.0395677207287682E-4</v>
      </c>
      <c r="S133" s="2"/>
      <c r="T133" s="2"/>
      <c r="U133" s="2"/>
      <c r="V133" s="19">
        <f t="shared" si="13"/>
        <v>0</v>
      </c>
      <c r="W133" s="2"/>
      <c r="X133" s="2">
        <f t="shared" si="14"/>
        <v>5015.99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"5542", " - ", "FREIGHT-IN-EVERYDAY GIFTS")</f>
        <v xml:space="preserve">          5542 - FREIGHT-IN-EVERYDAY GIFTS</v>
      </c>
      <c r="C134" s="11"/>
      <c r="D134" s="2"/>
      <c r="E134" s="2"/>
      <c r="F134" s="19">
        <f t="shared" si="8"/>
        <v>0</v>
      </c>
      <c r="G134" s="2"/>
      <c r="H134" s="2"/>
      <c r="I134" s="2"/>
      <c r="J134" s="19">
        <f t="shared" si="9"/>
        <v>0</v>
      </c>
      <c r="K134" s="2"/>
      <c r="L134" s="2">
        <f t="shared" si="10"/>
        <v>0</v>
      </c>
      <c r="M134" s="2"/>
      <c r="N134" s="19">
        <f t="shared" si="11"/>
        <v>0</v>
      </c>
      <c r="O134" s="11"/>
      <c r="P134" s="2">
        <v>681.72</v>
      </c>
      <c r="Q134" s="2"/>
      <c r="R134" s="19">
        <f t="shared" si="12"/>
        <v>9.5674315669991698E-5</v>
      </c>
      <c r="S134" s="2"/>
      <c r="T134" s="2"/>
      <c r="U134" s="2"/>
      <c r="V134" s="19">
        <f t="shared" si="13"/>
        <v>0</v>
      </c>
      <c r="W134" s="2"/>
      <c r="X134" s="2">
        <f t="shared" si="14"/>
        <v>681.72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"5543", " - ", "FREIGHT-IN-CARDS")</f>
        <v xml:space="preserve">          5543 - FREIGHT-IN-CARDS</v>
      </c>
      <c r="C135" s="11"/>
      <c r="D135" s="2"/>
      <c r="E135" s="2"/>
      <c r="F135" s="19">
        <f t="shared" si="8"/>
        <v>0</v>
      </c>
      <c r="G135" s="2"/>
      <c r="H135" s="2"/>
      <c r="I135" s="2"/>
      <c r="J135" s="19">
        <f t="shared" si="9"/>
        <v>0</v>
      </c>
      <c r="K135" s="2"/>
      <c r="L135" s="2">
        <f t="shared" si="10"/>
        <v>0</v>
      </c>
      <c r="M135" s="2"/>
      <c r="N135" s="19">
        <f t="shared" si="11"/>
        <v>0</v>
      </c>
      <c r="O135" s="11"/>
      <c r="P135" s="2">
        <v>9110.5300000000007</v>
      </c>
      <c r="Q135" s="2"/>
      <c r="R135" s="19">
        <f t="shared" si="12"/>
        <v>1.2785949116073014E-3</v>
      </c>
      <c r="S135" s="2"/>
      <c r="T135" s="2"/>
      <c r="U135" s="2"/>
      <c r="V135" s="19">
        <f t="shared" si="13"/>
        <v>0</v>
      </c>
      <c r="W135" s="2"/>
      <c r="X135" s="2">
        <f t="shared" si="14"/>
        <v>9110.5300000000007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"5545", " - ", "FREIGHT-IN-SPECIAL ORDERS")</f>
        <v xml:space="preserve">          5545 - FREIGHT-IN-SPECIAL ORDERS</v>
      </c>
      <c r="C136" s="11"/>
      <c r="D136" s="2">
        <v>168.6</v>
      </c>
      <c r="E136" s="2"/>
      <c r="F136" s="19">
        <f t="shared" si="8"/>
        <v>2.003104098504248E-4</v>
      </c>
      <c r="G136" s="2"/>
      <c r="H136" s="2"/>
      <c r="I136" s="2"/>
      <c r="J136" s="19">
        <f t="shared" si="9"/>
        <v>0</v>
      </c>
      <c r="K136" s="2"/>
      <c r="L136" s="2">
        <f t="shared" si="10"/>
        <v>168.6</v>
      </c>
      <c r="M136" s="2"/>
      <c r="N136" s="19">
        <f t="shared" si="11"/>
        <v>0</v>
      </c>
      <c r="O136" s="11"/>
      <c r="P136" s="2">
        <v>1434.76</v>
      </c>
      <c r="Q136" s="2"/>
      <c r="R136" s="19">
        <f t="shared" si="12"/>
        <v>2.0135786121967564E-4</v>
      </c>
      <c r="S136" s="2"/>
      <c r="T136" s="2"/>
      <c r="U136" s="2"/>
      <c r="V136" s="19">
        <f t="shared" si="13"/>
        <v>0</v>
      </c>
      <c r="W136" s="2"/>
      <c r="X136" s="2">
        <f t="shared" si="14"/>
        <v>1434.76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"5581", " - ", "FREIGHT-IN-ELECTRONICS")</f>
        <v xml:space="preserve">          5581 - FREIGHT-IN-ELECTRONICS</v>
      </c>
      <c r="C137" s="11"/>
      <c r="D137" s="2"/>
      <c r="E137" s="2"/>
      <c r="F137" s="19">
        <f t="shared" si="8"/>
        <v>0</v>
      </c>
      <c r="G137" s="2"/>
      <c r="H137" s="2"/>
      <c r="I137" s="2"/>
      <c r="J137" s="19">
        <f t="shared" si="9"/>
        <v>0</v>
      </c>
      <c r="K137" s="2"/>
      <c r="L137" s="2">
        <f t="shared" si="10"/>
        <v>0</v>
      </c>
      <c r="M137" s="2"/>
      <c r="N137" s="19">
        <f t="shared" si="11"/>
        <v>0</v>
      </c>
      <c r="O137" s="11"/>
      <c r="P137" s="2">
        <v>31</v>
      </c>
      <c r="Q137" s="2"/>
      <c r="R137" s="19">
        <f t="shared" si="12"/>
        <v>4.3506187082229399E-6</v>
      </c>
      <c r="S137" s="2"/>
      <c r="T137" s="2"/>
      <c r="U137" s="2"/>
      <c r="V137" s="19">
        <f t="shared" si="13"/>
        <v>0</v>
      </c>
      <c r="W137" s="2"/>
      <c r="X137" s="2">
        <f t="shared" si="14"/>
        <v>31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"5582", " - ", "FREIGHT-IN-COMPUTER HARDWARE")</f>
        <v xml:space="preserve">          5582 - FREIGHT-IN-COMPUTER HARDWARE</v>
      </c>
      <c r="C138" s="11"/>
      <c r="D138" s="2"/>
      <c r="E138" s="2"/>
      <c r="F138" s="19">
        <f t="shared" si="8"/>
        <v>0</v>
      </c>
      <c r="G138" s="2"/>
      <c r="H138" s="2"/>
      <c r="I138" s="2"/>
      <c r="J138" s="19">
        <f t="shared" si="9"/>
        <v>0</v>
      </c>
      <c r="K138" s="2"/>
      <c r="L138" s="2">
        <f t="shared" si="10"/>
        <v>0</v>
      </c>
      <c r="M138" s="2"/>
      <c r="N138" s="19">
        <f t="shared" si="11"/>
        <v>0</v>
      </c>
      <c r="O138" s="11"/>
      <c r="P138" s="2">
        <v>125</v>
      </c>
      <c r="Q138" s="2"/>
      <c r="R138" s="19">
        <f t="shared" si="12"/>
        <v>1.7542817371866692E-5</v>
      </c>
      <c r="S138" s="2"/>
      <c r="T138" s="2"/>
      <c r="U138" s="2"/>
      <c r="V138" s="19">
        <f t="shared" si="13"/>
        <v>0</v>
      </c>
      <c r="W138" s="2"/>
      <c r="X138" s="2">
        <f t="shared" si="14"/>
        <v>125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"5583", " - ", "FREIGHT-IN-COMPUTER EQUIPMENT")</f>
        <v xml:space="preserve">          5583 - FREIGHT-IN-COMPUTER EQUIPMENT</v>
      </c>
      <c r="C139" s="11"/>
      <c r="D139" s="2"/>
      <c r="E139" s="2"/>
      <c r="F139" s="19">
        <f t="shared" si="8"/>
        <v>0</v>
      </c>
      <c r="G139" s="2"/>
      <c r="H139" s="2"/>
      <c r="I139" s="2"/>
      <c r="J139" s="19">
        <f t="shared" si="9"/>
        <v>0</v>
      </c>
      <c r="K139" s="2"/>
      <c r="L139" s="2">
        <f t="shared" si="10"/>
        <v>0</v>
      </c>
      <c r="M139" s="2"/>
      <c r="N139" s="19">
        <f t="shared" si="11"/>
        <v>0</v>
      </c>
      <c r="O139" s="11"/>
      <c r="P139" s="2">
        <v>242.46</v>
      </c>
      <c r="Q139" s="2"/>
      <c r="R139" s="19">
        <f t="shared" si="12"/>
        <v>3.4027451999862389E-5</v>
      </c>
      <c r="S139" s="2"/>
      <c r="T139" s="2"/>
      <c r="U139" s="2"/>
      <c r="V139" s="19">
        <f t="shared" si="13"/>
        <v>0</v>
      </c>
      <c r="W139" s="2"/>
      <c r="X139" s="2">
        <f t="shared" si="14"/>
        <v>242.46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"5585", " - ", "FREIGHT-IN-SOFTWARE")</f>
        <v xml:space="preserve">          5585 - FREIGHT-IN-SOFTWARE</v>
      </c>
      <c r="C140" s="11"/>
      <c r="D140" s="2"/>
      <c r="E140" s="2"/>
      <c r="F140" s="19">
        <f t="shared" si="8"/>
        <v>0</v>
      </c>
      <c r="G140" s="2"/>
      <c r="H140" s="2"/>
      <c r="I140" s="2"/>
      <c r="J140" s="19">
        <f t="shared" si="9"/>
        <v>0</v>
      </c>
      <c r="K140" s="2"/>
      <c r="L140" s="2">
        <f t="shared" si="10"/>
        <v>0</v>
      </c>
      <c r="M140" s="2"/>
      <c r="N140" s="19">
        <f t="shared" si="11"/>
        <v>0</v>
      </c>
      <c r="O140" s="11"/>
      <c r="P140" s="2">
        <v>9.41</v>
      </c>
      <c r="Q140" s="2"/>
      <c r="R140" s="19">
        <f t="shared" si="12"/>
        <v>1.3206232917541247E-6</v>
      </c>
      <c r="S140" s="2"/>
      <c r="T140" s="2"/>
      <c r="U140" s="2"/>
      <c r="V140" s="19">
        <f t="shared" si="13"/>
        <v>0</v>
      </c>
      <c r="W140" s="2"/>
      <c r="X140" s="2">
        <f t="shared" si="14"/>
        <v>9.41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"5586", " - ", "FREIGHT-IN-COMPUTER SUPPLIES")</f>
        <v xml:space="preserve">          5586 - FREIGHT-IN-COMPUTER SUPPLIES</v>
      </c>
      <c r="C141" s="11"/>
      <c r="D141" s="2"/>
      <c r="E141" s="2"/>
      <c r="F141" s="19">
        <f t="shared" si="8"/>
        <v>0</v>
      </c>
      <c r="G141" s="2"/>
      <c r="H141" s="2"/>
      <c r="I141" s="2"/>
      <c r="J141" s="19">
        <f t="shared" si="9"/>
        <v>0</v>
      </c>
      <c r="K141" s="2"/>
      <c r="L141" s="2">
        <f t="shared" si="10"/>
        <v>0</v>
      </c>
      <c r="M141" s="2"/>
      <c r="N141" s="19">
        <f t="shared" si="11"/>
        <v>0</v>
      </c>
      <c r="O141" s="11"/>
      <c r="P141" s="2">
        <v>24.12</v>
      </c>
      <c r="Q141" s="2"/>
      <c r="R141" s="19">
        <f t="shared" si="12"/>
        <v>3.3850620400753973E-6</v>
      </c>
      <c r="S141" s="2"/>
      <c r="T141" s="2"/>
      <c r="U141" s="2"/>
      <c r="V141" s="19">
        <f t="shared" si="13"/>
        <v>0</v>
      </c>
      <c r="W141" s="2"/>
      <c r="X141" s="2">
        <f t="shared" si="14"/>
        <v>24.12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"5592", " - ", "FREIGHT-IN-GRAD MERCH")</f>
        <v xml:space="preserve">          5592 - FREIGHT-IN-GRAD MERCH</v>
      </c>
      <c r="C142" s="11"/>
      <c r="D142" s="2"/>
      <c r="E142" s="2"/>
      <c r="F142" s="19">
        <f t="shared" si="8"/>
        <v>0</v>
      </c>
      <c r="G142" s="2"/>
      <c r="H142" s="2"/>
      <c r="I142" s="2"/>
      <c r="J142" s="19">
        <f t="shared" si="9"/>
        <v>0</v>
      </c>
      <c r="K142" s="2"/>
      <c r="L142" s="2">
        <f t="shared" si="10"/>
        <v>0</v>
      </c>
      <c r="M142" s="2"/>
      <c r="N142" s="19">
        <f t="shared" si="11"/>
        <v>0</v>
      </c>
      <c r="O142" s="11"/>
      <c r="P142" s="2">
        <v>0</v>
      </c>
      <c r="Q142" s="2"/>
      <c r="R142" s="19">
        <f t="shared" si="12"/>
        <v>0</v>
      </c>
      <c r="S142" s="2"/>
      <c r="T142" s="2"/>
      <c r="U142" s="2"/>
      <c r="V142" s="19">
        <f t="shared" si="13"/>
        <v>0</v>
      </c>
      <c r="W142" s="2"/>
      <c r="X142" s="2">
        <f t="shared" si="14"/>
        <v>0</v>
      </c>
      <c r="Y142" s="2"/>
      <c r="Z142" s="19">
        <f t="shared" si="15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8" t="s">
        <v>108</v>
      </c>
      <c r="C144" s="28"/>
      <c r="D144" s="21">
        <f>D12-D94</f>
        <v>249098.66000000003</v>
      </c>
      <c r="E144" s="14"/>
      <c r="F144" s="20">
        <f>IF(D$12=0,0,D144/D$12)</f>
        <v>0.29594931600113655</v>
      </c>
      <c r="G144" s="14"/>
      <c r="H144" s="21">
        <f>H12-H94</f>
        <v>261877</v>
      </c>
      <c r="I144" s="14"/>
      <c r="J144" s="20">
        <f>IF(H$12=0,0,H144/H$12)</f>
        <v>0.3514651033886681</v>
      </c>
      <c r="K144" s="16"/>
      <c r="L144" s="21">
        <f>+D144-H144</f>
        <v>-12778.339999999967</v>
      </c>
      <c r="M144" s="16"/>
      <c r="N144" s="20">
        <f>IF(H144=0,0,L144/H144)</f>
        <v>-4.8795197745506357E-2</v>
      </c>
      <c r="O144" s="29"/>
      <c r="P144" s="21">
        <f>P12-P94</f>
        <v>1947330.7299999967</v>
      </c>
      <c r="Q144" s="14"/>
      <c r="R144" s="20">
        <f>IF(P$12=0,0,P144/P$12)</f>
        <v>0.27329333887211033</v>
      </c>
      <c r="S144" s="14"/>
      <c r="T144" s="21">
        <f>T12-T94</f>
        <v>3801825</v>
      </c>
      <c r="U144" s="14"/>
      <c r="V144" s="20">
        <f>IF(T$12=0,0,T144/T$12)</f>
        <v>0.36916119259507407</v>
      </c>
      <c r="W144" s="16"/>
      <c r="X144" s="21">
        <f>+P144-T144</f>
        <v>-1854494.2700000033</v>
      </c>
      <c r="Y144" s="16"/>
      <c r="Z144" s="20">
        <f>IF(T144=0,0,X144/T144)</f>
        <v>-0.48779054006957273</v>
      </c>
    </row>
    <row r="145" spans="1:26" x14ac:dyDescent="0.25">
      <c r="A145" s="9"/>
      <c r="B145" s="10"/>
      <c r="C145" s="9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6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x14ac:dyDescent="0.25">
      <c r="A146" s="10"/>
      <c r="B146" s="29" t="s">
        <v>295</v>
      </c>
      <c r="C146" s="10"/>
      <c r="D146" s="22">
        <f>SUM(OSRRefD22x_0)</f>
        <v>269213.73999999993</v>
      </c>
      <c r="E146" s="22"/>
      <c r="F146" s="32">
        <f t="shared" ref="F146:F157" si="16">IF(D$12=0,0,D146/D$12)</f>
        <v>0.31984765478508709</v>
      </c>
      <c r="G146" s="22"/>
      <c r="H146" s="22">
        <f>SUM(OSRRefH22x_0)</f>
        <v>405630.50220953091</v>
      </c>
      <c r="I146" s="22"/>
      <c r="J146" s="32">
        <f t="shared" ref="J146:J157" si="17">IF(H$12=0,0,H146/H$12)</f>
        <v>0.54439666865234504</v>
      </c>
      <c r="K146" s="4"/>
      <c r="L146" s="22">
        <f t="shared" ref="L146:L157" si="18">+D146-H146</f>
        <v>-136416.76220953098</v>
      </c>
      <c r="M146" s="4"/>
      <c r="N146" s="32">
        <f t="shared" ref="N146:N157" si="19">IF(H146=0,0,L146/H146)</f>
        <v>-0.33630794890041099</v>
      </c>
      <c r="O146" s="10"/>
      <c r="P146" s="22">
        <f>SUM(OSRRefP22x_0)</f>
        <v>2776027.4299999997</v>
      </c>
      <c r="Q146" s="22"/>
      <c r="R146" s="32">
        <f t="shared" ref="R146:R157" si="20">IF(P$12=0,0,P146/P$12)</f>
        <v>0.38959473779025955</v>
      </c>
      <c r="S146" s="22"/>
      <c r="T146" s="22">
        <f>SUM(OSRRefT22x_0)</f>
        <v>3937736.1795250606</v>
      </c>
      <c r="U146" s="22"/>
      <c r="V146" s="32">
        <f t="shared" ref="V146:V157" si="21">IF(T$12=0,0,T146/T$12)</f>
        <v>0.38235831058984621</v>
      </c>
      <c r="W146" s="4"/>
      <c r="X146" s="22">
        <f t="shared" ref="X146:X157" si="22">+P146-T146</f>
        <v>-1161708.7495250609</v>
      </c>
      <c r="Y146" s="4"/>
      <c r="Z146" s="32">
        <f t="shared" ref="Z146:Z157" si="23">IF(T146=0,0,X146/T146)</f>
        <v>-0.29501944685008769</v>
      </c>
    </row>
    <row r="147" spans="1:26" s="25" customFormat="1" outlineLevel="1" collapsed="1" x14ac:dyDescent="0.25">
      <c r="A147" s="27"/>
      <c r="B147" s="13" t="str">
        <f>CONCATENATE("     ","*Benefits                                         ")</f>
        <v xml:space="preserve">     *Benefits                                         </v>
      </c>
      <c r="C147" s="13"/>
      <c r="D147" s="1">
        <f>SUM(OSRRefD22_0x_0)</f>
        <v>56964.56</v>
      </c>
      <c r="E147" s="1"/>
      <c r="F147" s="5">
        <f t="shared" si="16"/>
        <v>6.7678495614170303E-2</v>
      </c>
      <c r="G147" s="1"/>
      <c r="H147" s="1">
        <f>SUM(OSRRefH22_0x_0)</f>
        <v>50900.367904915387</v>
      </c>
      <c r="I147" s="1"/>
      <c r="J147" s="5">
        <f t="shared" si="17"/>
        <v>6.8313380206059829E-2</v>
      </c>
      <c r="K147" s="1"/>
      <c r="L147" s="1">
        <f t="shared" si="18"/>
        <v>6064.1920950846106</v>
      </c>
      <c r="M147" s="1"/>
      <c r="N147" s="5">
        <f t="shared" si="19"/>
        <v>0.11913847275942771</v>
      </c>
      <c r="O147" s="13"/>
      <c r="P147" s="1">
        <f>SUM(OSRRefP22_0x_0)</f>
        <v>493440.38999999996</v>
      </c>
      <c r="Q147" s="1"/>
      <c r="R147" s="5">
        <f t="shared" si="20"/>
        <v>6.92506771653814E-2</v>
      </c>
      <c r="S147" s="1"/>
      <c r="T147" s="1">
        <f>SUM(OSRRefT22_0x_0)</f>
        <v>480979.91077444551</v>
      </c>
      <c r="U147" s="1"/>
      <c r="V147" s="5">
        <f t="shared" si="21"/>
        <v>4.6703653502138218E-2</v>
      </c>
      <c r="W147" s="1"/>
      <c r="X147" s="1">
        <f t="shared" si="22"/>
        <v>12460.479225554445</v>
      </c>
      <c r="Y147" s="1"/>
      <c r="Z147" s="5">
        <f t="shared" si="23"/>
        <v>2.5906444211965769E-2</v>
      </c>
    </row>
    <row r="148" spans="1:26" s="24" customFormat="1" hidden="1" outlineLevel="2" x14ac:dyDescent="0.25">
      <c r="A148" s="26"/>
      <c r="B148" s="11" t="str">
        <f>CONCATENATE("          ", "6111", " - ", "F.I.C.A.")</f>
        <v xml:space="preserve">          6111 - F.I.C.A.</v>
      </c>
      <c r="C148" s="11"/>
      <c r="D148" s="7">
        <v>11426.07</v>
      </c>
      <c r="E148" s="2"/>
      <c r="F148" s="6">
        <f t="shared" si="16"/>
        <v>1.3575093503437979E-2</v>
      </c>
      <c r="G148" s="2"/>
      <c r="H148" s="7">
        <v>8734.6863817615395</v>
      </c>
      <c r="I148" s="2"/>
      <c r="J148" s="6">
        <f t="shared" si="17"/>
        <v>1.1722821982203136E-2</v>
      </c>
      <c r="K148" s="2"/>
      <c r="L148" s="7">
        <f t="shared" si="18"/>
        <v>2691.3836182384603</v>
      </c>
      <c r="M148" s="2"/>
      <c r="N148" s="6">
        <f t="shared" si="19"/>
        <v>0.3081259590336527</v>
      </c>
      <c r="O148" s="11"/>
      <c r="P148" s="7">
        <v>94632.01</v>
      </c>
      <c r="Q148" s="2"/>
      <c r="R148" s="6">
        <f t="shared" si="20"/>
        <v>1.32808965517013E-2</v>
      </c>
      <c r="S148" s="2"/>
      <c r="T148" s="7">
        <v>87140.032871216506</v>
      </c>
      <c r="U148" s="2"/>
      <c r="V148" s="6">
        <f t="shared" si="21"/>
        <v>8.4613885324843312E-3</v>
      </c>
      <c r="W148" s="2"/>
      <c r="X148" s="7">
        <f t="shared" si="22"/>
        <v>7491.9771287834883</v>
      </c>
      <c r="Y148" s="2"/>
      <c r="Z148" s="6">
        <f t="shared" si="23"/>
        <v>8.5976294498945352E-2</v>
      </c>
    </row>
    <row r="149" spans="1:26" s="24" customFormat="1" hidden="1" outlineLevel="2" x14ac:dyDescent="0.25">
      <c r="A149" s="26"/>
      <c r="B149" s="11" t="str">
        <f>CONCATENATE("          ", "6112", " - ", "COMPENSATION INSURANCE")</f>
        <v xml:space="preserve">          6112 - COMPENSATION INSURANCE</v>
      </c>
      <c r="C149" s="11"/>
      <c r="D149" s="7">
        <v>1775.21</v>
      </c>
      <c r="E149" s="2"/>
      <c r="F149" s="6">
        <f t="shared" si="16"/>
        <v>2.1090927797780107E-3</v>
      </c>
      <c r="G149" s="2"/>
      <c r="H149" s="7">
        <v>3719.34597653846</v>
      </c>
      <c r="I149" s="2"/>
      <c r="J149" s="6">
        <f t="shared" si="17"/>
        <v>4.9917339750429274E-3</v>
      </c>
      <c r="K149" s="2"/>
      <c r="L149" s="7">
        <f t="shared" si="18"/>
        <v>-1944.13597653846</v>
      </c>
      <c r="M149" s="2"/>
      <c r="N149" s="6">
        <f t="shared" si="19"/>
        <v>-0.5227090969224214</v>
      </c>
      <c r="O149" s="11"/>
      <c r="P149" s="7">
        <v>23112.76</v>
      </c>
      <c r="Q149" s="2"/>
      <c r="R149" s="6">
        <f t="shared" si="20"/>
        <v>3.2437034211182849E-3</v>
      </c>
      <c r="S149" s="2"/>
      <c r="T149" s="7">
        <v>34933.791826663401</v>
      </c>
      <c r="U149" s="2"/>
      <c r="V149" s="6">
        <f t="shared" si="21"/>
        <v>3.3921078041727623E-3</v>
      </c>
      <c r="W149" s="2"/>
      <c r="X149" s="7">
        <f t="shared" si="22"/>
        <v>-11821.031826663402</v>
      </c>
      <c r="Y149" s="2"/>
      <c r="Z149" s="6">
        <f t="shared" si="23"/>
        <v>-0.33838387442501838</v>
      </c>
    </row>
    <row r="150" spans="1:26" s="24" customFormat="1" hidden="1" outlineLevel="2" x14ac:dyDescent="0.25">
      <c r="A150" s="26"/>
      <c r="B150" s="11" t="str">
        <f>CONCATENATE("          ", "6113", " - ", "GROUP INSURANCE")</f>
        <v xml:space="preserve">          6113 - GROUP INSURANCE</v>
      </c>
      <c r="C150" s="11"/>
      <c r="D150" s="7">
        <v>19337.900000000001</v>
      </c>
      <c r="E150" s="2"/>
      <c r="F150" s="6">
        <f t="shared" si="16"/>
        <v>2.297498620786791E-2</v>
      </c>
      <c r="G150" s="2"/>
      <c r="H150" s="7">
        <v>19167.307692307699</v>
      </c>
      <c r="I150" s="2"/>
      <c r="J150" s="6">
        <f t="shared" si="17"/>
        <v>2.5724442313602717E-2</v>
      </c>
      <c r="K150" s="2"/>
      <c r="L150" s="7">
        <f t="shared" si="18"/>
        <v>170.59230769230271</v>
      </c>
      <c r="M150" s="2"/>
      <c r="N150" s="6">
        <f t="shared" si="19"/>
        <v>8.900170562857166E-3</v>
      </c>
      <c r="O150" s="11"/>
      <c r="P150" s="7">
        <v>175300.32</v>
      </c>
      <c r="Q150" s="2"/>
      <c r="R150" s="6">
        <f t="shared" si="20"/>
        <v>2.4602091991918321E-2</v>
      </c>
      <c r="S150" s="2"/>
      <c r="T150" s="7">
        <v>186072.30769230801</v>
      </c>
      <c r="U150" s="2"/>
      <c r="V150" s="6">
        <f t="shared" si="21"/>
        <v>1.8067816118998114E-2</v>
      </c>
      <c r="W150" s="2"/>
      <c r="X150" s="7">
        <f t="shared" si="22"/>
        <v>-10771.987692308001</v>
      </c>
      <c r="Y150" s="2"/>
      <c r="Z150" s="6">
        <f t="shared" si="23"/>
        <v>-5.7891406979918382E-2</v>
      </c>
    </row>
    <row r="151" spans="1:26" s="24" customFormat="1" hidden="1" outlineLevel="2" x14ac:dyDescent="0.25">
      <c r="A151" s="26"/>
      <c r="B151" s="11" t="str">
        <f>CONCATENATE("          ", "6114", " - ", "STATE UNEMPLOYMENT INSURANCE")</f>
        <v xml:space="preserve">          6114 - STATE UNEMPLOYMENT INSURANCE</v>
      </c>
      <c r="C151" s="11"/>
      <c r="D151" s="7">
        <v>321.77999999999997</v>
      </c>
      <c r="E151" s="2"/>
      <c r="F151" s="6">
        <f t="shared" si="16"/>
        <v>3.8230061495652241E-4</v>
      </c>
      <c r="G151" s="2"/>
      <c r="H151" s="7">
        <v>527.35490200000004</v>
      </c>
      <c r="I151" s="2"/>
      <c r="J151" s="6">
        <f t="shared" si="17"/>
        <v>7.0776297709974889E-4</v>
      </c>
      <c r="K151" s="2"/>
      <c r="L151" s="7">
        <f t="shared" si="18"/>
        <v>-205.57490200000007</v>
      </c>
      <c r="M151" s="2"/>
      <c r="N151" s="6">
        <f t="shared" si="19"/>
        <v>-0.38982268150036092</v>
      </c>
      <c r="O151" s="11"/>
      <c r="P151" s="7">
        <v>3763.78</v>
      </c>
      <c r="Q151" s="2"/>
      <c r="R151" s="6">
        <f t="shared" si="20"/>
        <v>5.2821844134307537E-4</v>
      </c>
      <c r="S151" s="2"/>
      <c r="T151" s="7">
        <v>4950.1956184500004</v>
      </c>
      <c r="U151" s="2"/>
      <c r="V151" s="6">
        <f t="shared" si="21"/>
        <v>4.806691833753296E-4</v>
      </c>
      <c r="W151" s="2"/>
      <c r="X151" s="7">
        <f t="shared" si="22"/>
        <v>-1186.4156184500002</v>
      </c>
      <c r="Y151" s="2"/>
      <c r="Z151" s="6">
        <f t="shared" si="23"/>
        <v>-0.23967045141167356</v>
      </c>
    </row>
    <row r="152" spans="1:26" s="24" customFormat="1" hidden="1" outlineLevel="2" x14ac:dyDescent="0.25">
      <c r="A152" s="26"/>
      <c r="B152" s="11" t="str">
        <f>CONCATENATE("          ", "6115", " - ", "P.E.R.S.")</f>
        <v xml:space="preserve">          6115 - P.E.R.S.</v>
      </c>
      <c r="C152" s="11"/>
      <c r="D152" s="7">
        <v>6349.33</v>
      </c>
      <c r="E152" s="2"/>
      <c r="F152" s="6">
        <f t="shared" si="16"/>
        <v>7.5435165751814807E-3</v>
      </c>
      <c r="G152" s="2"/>
      <c r="H152" s="7">
        <v>6170.0612676923101</v>
      </c>
      <c r="I152" s="2"/>
      <c r="J152" s="6">
        <f t="shared" si="17"/>
        <v>8.2808387959381474E-3</v>
      </c>
      <c r="K152" s="2"/>
      <c r="L152" s="7">
        <f t="shared" si="18"/>
        <v>179.26873230768979</v>
      </c>
      <c r="M152" s="2"/>
      <c r="N152" s="6">
        <f t="shared" si="19"/>
        <v>2.9054611377422969E-2</v>
      </c>
      <c r="O152" s="11"/>
      <c r="P152" s="7">
        <v>70285.67</v>
      </c>
      <c r="Q152" s="2"/>
      <c r="R152" s="6">
        <f t="shared" si="20"/>
        <v>9.8640693813543175E-3</v>
      </c>
      <c r="S152" s="2"/>
      <c r="T152" s="7">
        <v>53990.938413692304</v>
      </c>
      <c r="U152" s="2"/>
      <c r="V152" s="6">
        <f t="shared" si="21"/>
        <v>5.2425767135851455E-3</v>
      </c>
      <c r="W152" s="2"/>
      <c r="X152" s="7">
        <f t="shared" si="22"/>
        <v>16294.731586307695</v>
      </c>
      <c r="Y152" s="2"/>
      <c r="Z152" s="6">
        <f t="shared" si="23"/>
        <v>0.3018049336622623</v>
      </c>
    </row>
    <row r="153" spans="1:26" s="24" customFormat="1" hidden="1" outlineLevel="2" x14ac:dyDescent="0.25">
      <c r="A153" s="26"/>
      <c r="B153" s="11" t="str">
        <f>CONCATENATE("          ", "6116", " - ", "EDUCATIONAL BENEFITS")</f>
        <v xml:space="preserve">          6116 - EDUCATIONAL BENEFITS</v>
      </c>
      <c r="C153" s="11"/>
      <c r="D153" s="7"/>
      <c r="E153" s="2"/>
      <c r="F153" s="6">
        <f t="shared" si="16"/>
        <v>0</v>
      </c>
      <c r="G153" s="2"/>
      <c r="H153" s="7">
        <v>0</v>
      </c>
      <c r="I153" s="2"/>
      <c r="J153" s="6">
        <f t="shared" si="17"/>
        <v>0</v>
      </c>
      <c r="K153" s="2"/>
      <c r="L153" s="7">
        <f t="shared" si="18"/>
        <v>0</v>
      </c>
      <c r="M153" s="2"/>
      <c r="N153" s="6">
        <f t="shared" si="19"/>
        <v>0</v>
      </c>
      <c r="O153" s="11"/>
      <c r="P153" s="7">
        <v>0</v>
      </c>
      <c r="Q153" s="2"/>
      <c r="R153" s="6">
        <f t="shared" si="20"/>
        <v>0</v>
      </c>
      <c r="S153" s="2"/>
      <c r="T153" s="7">
        <v>0</v>
      </c>
      <c r="U153" s="2"/>
      <c r="V153" s="6">
        <f t="shared" si="21"/>
        <v>0</v>
      </c>
      <c r="W153" s="2"/>
      <c r="X153" s="7">
        <f t="shared" si="22"/>
        <v>0</v>
      </c>
      <c r="Y153" s="2"/>
      <c r="Z153" s="6">
        <f t="shared" si="23"/>
        <v>0</v>
      </c>
    </row>
    <row r="154" spans="1:26" s="24" customFormat="1" hidden="1" outlineLevel="2" x14ac:dyDescent="0.25">
      <c r="A154" s="26"/>
      <c r="B154" s="11" t="str">
        <f>CONCATENATE("          ", "6117", " - ", "RETIREMENT STAFF HOURLY")</f>
        <v xml:space="preserve">          6117 - RETIREMENT STAFF HOURLY</v>
      </c>
      <c r="C154" s="11"/>
      <c r="D154" s="7">
        <v>534.61</v>
      </c>
      <c r="E154" s="2"/>
      <c r="F154" s="6">
        <f t="shared" si="16"/>
        <v>6.35159835172809E-4</v>
      </c>
      <c r="G154" s="2"/>
      <c r="H154" s="7"/>
      <c r="I154" s="2"/>
      <c r="J154" s="6">
        <f t="shared" si="17"/>
        <v>0</v>
      </c>
      <c r="K154" s="2"/>
      <c r="L154" s="7">
        <f t="shared" si="18"/>
        <v>534.61</v>
      </c>
      <c r="M154" s="2"/>
      <c r="N154" s="6">
        <f t="shared" si="19"/>
        <v>0</v>
      </c>
      <c r="O154" s="11"/>
      <c r="P154" s="7">
        <v>5656.91</v>
      </c>
      <c r="Q154" s="2"/>
      <c r="R154" s="6">
        <f t="shared" si="20"/>
        <v>7.9390511215269124E-4</v>
      </c>
      <c r="S154" s="2"/>
      <c r="T154" s="7"/>
      <c r="U154" s="2"/>
      <c r="V154" s="6">
        <f t="shared" si="21"/>
        <v>0</v>
      </c>
      <c r="W154" s="2"/>
      <c r="X154" s="7">
        <f t="shared" si="22"/>
        <v>5656.91</v>
      </c>
      <c r="Y154" s="2"/>
      <c r="Z154" s="6">
        <f t="shared" si="23"/>
        <v>0</v>
      </c>
    </row>
    <row r="155" spans="1:26" s="24" customFormat="1" hidden="1" outlineLevel="2" x14ac:dyDescent="0.25">
      <c r="A155" s="26"/>
      <c r="B155" s="11" t="str">
        <f>CONCATENATE("          ", "6118", " - ", "VACATION")</f>
        <v xml:space="preserve">          6118 - VACATION</v>
      </c>
      <c r="C155" s="11"/>
      <c r="D155" s="7">
        <v>9009.1299999999992</v>
      </c>
      <c r="E155" s="2"/>
      <c r="F155" s="6">
        <f t="shared" si="16"/>
        <v>1.0703573681469498E-2</v>
      </c>
      <c r="G155" s="2"/>
      <c r="H155" s="7">
        <v>5216.9837653846098</v>
      </c>
      <c r="I155" s="2"/>
      <c r="J155" s="6">
        <f t="shared" si="17"/>
        <v>7.0017135467334091E-3</v>
      </c>
      <c r="K155" s="2"/>
      <c r="L155" s="7">
        <f t="shared" si="18"/>
        <v>3792.1462346153894</v>
      </c>
      <c r="M155" s="2"/>
      <c r="N155" s="6">
        <f t="shared" si="19"/>
        <v>0.72688480646169351</v>
      </c>
      <c r="O155" s="11"/>
      <c r="P155" s="7">
        <v>60445.83</v>
      </c>
      <c r="Q155" s="2"/>
      <c r="R155" s="6">
        <f t="shared" si="20"/>
        <v>8.4831212526472067E-3</v>
      </c>
      <c r="S155" s="2"/>
      <c r="T155" s="7">
        <v>45694.342285384599</v>
      </c>
      <c r="U155" s="2"/>
      <c r="V155" s="6">
        <f t="shared" si="21"/>
        <v>4.4369685329861581E-3</v>
      </c>
      <c r="W155" s="2"/>
      <c r="X155" s="7">
        <f t="shared" si="22"/>
        <v>14751.487714615403</v>
      </c>
      <c r="Y155" s="2"/>
      <c r="Z155" s="6">
        <f t="shared" si="23"/>
        <v>0.32282963222196742</v>
      </c>
    </row>
    <row r="156" spans="1:26" s="24" customFormat="1" hidden="1" outlineLevel="2" x14ac:dyDescent="0.25">
      <c r="A156" s="26"/>
      <c r="B156" s="11" t="str">
        <f>CONCATENATE("          ", "6119", " - ", "SICK LEAVE")</f>
        <v xml:space="preserve">          6119 - SICK LEAVE</v>
      </c>
      <c r="C156" s="11"/>
      <c r="D156" s="7">
        <v>6137.49</v>
      </c>
      <c r="E156" s="2"/>
      <c r="F156" s="6">
        <f t="shared" si="16"/>
        <v>7.2918335548806858E-3</v>
      </c>
      <c r="G156" s="2"/>
      <c r="H156" s="7">
        <v>5564.6279192307702</v>
      </c>
      <c r="I156" s="2"/>
      <c r="J156" s="6">
        <f t="shared" si="17"/>
        <v>7.4682867413018777E-3</v>
      </c>
      <c r="K156" s="2"/>
      <c r="L156" s="7">
        <f t="shared" si="18"/>
        <v>572.86208076922958</v>
      </c>
      <c r="M156" s="2"/>
      <c r="N156" s="6">
        <f t="shared" si="19"/>
        <v>0.10294705936932069</v>
      </c>
      <c r="O156" s="11"/>
      <c r="P156" s="7">
        <v>43593.18</v>
      </c>
      <c r="Q156" s="2"/>
      <c r="R156" s="6">
        <f t="shared" si="20"/>
        <v>6.1179775631912932E-3</v>
      </c>
      <c r="S156" s="2"/>
      <c r="T156" s="7">
        <v>50198.302066730699</v>
      </c>
      <c r="U156" s="2"/>
      <c r="V156" s="6">
        <f t="shared" si="21"/>
        <v>4.8743077488316994E-3</v>
      </c>
      <c r="W156" s="2"/>
      <c r="X156" s="7">
        <f t="shared" si="22"/>
        <v>-6605.1220667306989</v>
      </c>
      <c r="Y156" s="2"/>
      <c r="Z156" s="6">
        <f t="shared" si="23"/>
        <v>-0.13158058728660252</v>
      </c>
    </row>
    <row r="157" spans="1:26" s="24" customFormat="1" hidden="1" outlineLevel="2" x14ac:dyDescent="0.25">
      <c r="A157" s="26"/>
      <c r="B157" s="11" t="str">
        <f>CONCATENATE("          ", "6156", " - ", "EMPLOYEE MEALS")</f>
        <v xml:space="preserve">          6156 - EMPLOYEE MEALS</v>
      </c>
      <c r="C157" s="11"/>
      <c r="D157" s="7">
        <v>2073.04</v>
      </c>
      <c r="E157" s="2"/>
      <c r="F157" s="6">
        <f t="shared" si="16"/>
        <v>2.4629388614254128E-3</v>
      </c>
      <c r="G157" s="2"/>
      <c r="H157" s="7">
        <v>1800</v>
      </c>
      <c r="I157" s="2"/>
      <c r="J157" s="6">
        <f t="shared" si="17"/>
        <v>2.4157798741378687E-3</v>
      </c>
      <c r="K157" s="2"/>
      <c r="L157" s="7">
        <f t="shared" si="18"/>
        <v>273.03999999999996</v>
      </c>
      <c r="M157" s="2"/>
      <c r="N157" s="6">
        <f t="shared" si="19"/>
        <v>0.15168888888888887</v>
      </c>
      <c r="O157" s="11"/>
      <c r="P157" s="7">
        <v>16649.93</v>
      </c>
      <c r="Q157" s="2"/>
      <c r="R157" s="6">
        <f t="shared" si="20"/>
        <v>2.3366934499549153E-3</v>
      </c>
      <c r="S157" s="2"/>
      <c r="T157" s="7">
        <v>18000</v>
      </c>
      <c r="U157" s="2"/>
      <c r="V157" s="6">
        <f t="shared" si="21"/>
        <v>1.7478188677046769E-3</v>
      </c>
      <c r="W157" s="2"/>
      <c r="X157" s="7">
        <f t="shared" si="22"/>
        <v>-1350.0699999999997</v>
      </c>
      <c r="Y157" s="2"/>
      <c r="Z157" s="6">
        <f t="shared" si="23"/>
        <v>-7.500388888888887E-2</v>
      </c>
    </row>
    <row r="158" spans="1:26" s="25" customFormat="1" outlineLevel="1" collapsed="1" x14ac:dyDescent="0.25">
      <c r="A158" s="27"/>
      <c r="B158" s="13" t="str">
        <f>CONCATENATE("     ","*Payroll                                          ")</f>
        <v xml:space="preserve">     *Payroll                                          </v>
      </c>
      <c r="C158" s="13"/>
      <c r="D158" s="1">
        <f>SUM(OSRRefD22_1x_0)</f>
        <v>134061.96</v>
      </c>
      <c r="E158" s="1"/>
      <c r="F158" s="5">
        <f t="shared" ref="F158:F168" si="24">IF(D$12=0,0,D158/D$12)</f>
        <v>0.15927643032592675</v>
      </c>
      <c r="G158" s="1"/>
      <c r="H158" s="1">
        <f>SUM(OSRRefH22_1x_0)</f>
        <v>187440.13430461549</v>
      </c>
      <c r="I158" s="1"/>
      <c r="J158" s="5">
        <f t="shared" ref="J158:J168" si="25">IF(H$12=0,0,H158/H$12)</f>
        <v>0.2515633911437718</v>
      </c>
      <c r="K158" s="1"/>
      <c r="L158" s="1">
        <f t="shared" ref="L158:L168" si="26">+D158-H158</f>
        <v>-53378.174304615502</v>
      </c>
      <c r="M158" s="1"/>
      <c r="N158" s="5">
        <f t="shared" ref="N158:N168" si="27">IF(H158=0,0,L158/H158)</f>
        <v>-0.28477452015622634</v>
      </c>
      <c r="O158" s="13"/>
      <c r="P158" s="1">
        <f>SUM(OSRRefP22_1x_0)</f>
        <v>1330934.72</v>
      </c>
      <c r="Q158" s="1"/>
      <c r="R158" s="5">
        <f t="shared" ref="R158:R168" si="28">IF(P$12=0,0,P158/P$12)</f>
        <v>0.18678675781469226</v>
      </c>
      <c r="S158" s="1"/>
      <c r="T158" s="1">
        <f>SUM(OSRRefT22_1x_0)</f>
        <v>1772757.2687506154</v>
      </c>
      <c r="U158" s="1"/>
      <c r="V158" s="5">
        <f t="shared" ref="V158:V168" si="29">IF(T$12=0,0,T158/T$12)</f>
        <v>0.17213658901016313</v>
      </c>
      <c r="W158" s="1"/>
      <c r="X158" s="1">
        <f t="shared" ref="X158:X168" si="30">+P158-T158</f>
        <v>-441822.54875061545</v>
      </c>
      <c r="Y158" s="1"/>
      <c r="Z158" s="5">
        <f t="shared" ref="Z158:Z168" si="31">IF(T158=0,0,X158/T158)</f>
        <v>-0.24922901546583326</v>
      </c>
    </row>
    <row r="159" spans="1:26" s="24" customFormat="1" hidden="1" outlineLevel="2" x14ac:dyDescent="0.25">
      <c r="A159" s="26"/>
      <c r="B159" s="11" t="str">
        <f>CONCATENATE("          ", "6001", " - ", "ADMINISTRATIVE SALARIES")</f>
        <v xml:space="preserve">          6001 - ADMINISTRATIVE SALARIES</v>
      </c>
      <c r="C159" s="11"/>
      <c r="D159" s="7">
        <v>4416.46</v>
      </c>
      <c r="E159" s="2"/>
      <c r="F159" s="6">
        <f t="shared" si="24"/>
        <v>5.247110988659591E-3</v>
      </c>
      <c r="G159" s="2"/>
      <c r="H159" s="7">
        <v>9699.6153846153902</v>
      </c>
      <c r="I159" s="2"/>
      <c r="J159" s="6">
        <f t="shared" si="25"/>
        <v>1.3017853129462168E-2</v>
      </c>
      <c r="K159" s="2"/>
      <c r="L159" s="7">
        <f t="shared" si="26"/>
        <v>-5283.1553846153902</v>
      </c>
      <c r="M159" s="2"/>
      <c r="N159" s="6">
        <f t="shared" si="27"/>
        <v>-0.54467679130814095</v>
      </c>
      <c r="O159" s="11"/>
      <c r="P159" s="7">
        <v>43192.79</v>
      </c>
      <c r="Q159" s="2"/>
      <c r="R159" s="6">
        <f t="shared" si="28"/>
        <v>6.0617858140111199E-3</v>
      </c>
      <c r="S159" s="2"/>
      <c r="T159" s="7">
        <v>85356.615384615405</v>
      </c>
      <c r="U159" s="2"/>
      <c r="V159" s="6">
        <f t="shared" si="29"/>
        <v>8.2882168251467835E-3</v>
      </c>
      <c r="W159" s="2"/>
      <c r="X159" s="7">
        <f t="shared" si="30"/>
        <v>-42163.825384615404</v>
      </c>
      <c r="Y159" s="2"/>
      <c r="Z159" s="6">
        <f t="shared" si="31"/>
        <v>-0.4939725549639703</v>
      </c>
    </row>
    <row r="160" spans="1:26" s="24" customFormat="1" hidden="1" outlineLevel="2" x14ac:dyDescent="0.25">
      <c r="A160" s="26"/>
      <c r="B160" s="11" t="str">
        <f>CONCATENATE("          ", "6002", " - ", "STAFF SALARIES")</f>
        <v xml:space="preserve">          6002 - STAFF SALARIES</v>
      </c>
      <c r="C160" s="11"/>
      <c r="D160" s="7">
        <v>70695.399999999994</v>
      </c>
      <c r="E160" s="2"/>
      <c r="F160" s="6">
        <f t="shared" si="24"/>
        <v>8.3991841924909369E-2</v>
      </c>
      <c r="G160" s="2"/>
      <c r="H160" s="7">
        <v>54834.353820000098</v>
      </c>
      <c r="I160" s="2"/>
      <c r="J160" s="6">
        <f t="shared" si="25"/>
        <v>7.3593182427617324E-2</v>
      </c>
      <c r="K160" s="2"/>
      <c r="L160" s="7">
        <f t="shared" si="26"/>
        <v>15861.046179999896</v>
      </c>
      <c r="M160" s="2"/>
      <c r="N160" s="6">
        <f t="shared" si="27"/>
        <v>0.28925381763530128</v>
      </c>
      <c r="O160" s="11"/>
      <c r="P160" s="7">
        <v>626451.12</v>
      </c>
      <c r="Q160" s="2"/>
      <c r="R160" s="6">
        <f t="shared" si="28"/>
        <v>8.7917740724490767E-2</v>
      </c>
      <c r="S160" s="2"/>
      <c r="T160" s="7">
        <v>479344.16631599999</v>
      </c>
      <c r="U160" s="2"/>
      <c r="V160" s="6">
        <f t="shared" si="29"/>
        <v>4.6544821000626298E-2</v>
      </c>
      <c r="W160" s="2"/>
      <c r="X160" s="7">
        <f t="shared" si="30"/>
        <v>147106.95368400001</v>
      </c>
      <c r="Y160" s="2"/>
      <c r="Z160" s="6">
        <f t="shared" si="31"/>
        <v>0.30689213308798691</v>
      </c>
    </row>
    <row r="161" spans="1:26" s="24" customFormat="1" hidden="1" outlineLevel="2" x14ac:dyDescent="0.25">
      <c r="A161" s="26"/>
      <c r="B161" s="11" t="str">
        <f>CONCATENATE("          ", "6003", " - ", "STAFF HOURLY-9 MONTH")</f>
        <v xml:space="preserve">          6003 - STAFF HOURLY-9 MONTH</v>
      </c>
      <c r="C161" s="11"/>
      <c r="D161" s="7"/>
      <c r="E161" s="2"/>
      <c r="F161" s="6">
        <f t="shared" si="24"/>
        <v>0</v>
      </c>
      <c r="G161" s="2"/>
      <c r="H161" s="7">
        <v>0</v>
      </c>
      <c r="I161" s="2"/>
      <c r="J161" s="6">
        <f t="shared" si="25"/>
        <v>0</v>
      </c>
      <c r="K161" s="2"/>
      <c r="L161" s="7">
        <f t="shared" si="26"/>
        <v>0</v>
      </c>
      <c r="M161" s="2"/>
      <c r="N161" s="6">
        <f t="shared" si="27"/>
        <v>0</v>
      </c>
      <c r="O161" s="11"/>
      <c r="P161" s="7"/>
      <c r="Q161" s="2"/>
      <c r="R161" s="6">
        <f t="shared" si="28"/>
        <v>0</v>
      </c>
      <c r="S161" s="2"/>
      <c r="T161" s="7">
        <v>0</v>
      </c>
      <c r="U161" s="2"/>
      <c r="V161" s="6">
        <f t="shared" si="29"/>
        <v>0</v>
      </c>
      <c r="W161" s="2"/>
      <c r="X161" s="7">
        <f t="shared" si="30"/>
        <v>0</v>
      </c>
      <c r="Y161" s="2"/>
      <c r="Z161" s="6">
        <f t="shared" si="31"/>
        <v>0</v>
      </c>
    </row>
    <row r="162" spans="1:26" s="24" customFormat="1" hidden="1" outlineLevel="2" x14ac:dyDescent="0.25">
      <c r="A162" s="26"/>
      <c r="B162" s="11" t="str">
        <f>CONCATENATE("          ", "6004", " - ", "STAFF HOURLY")</f>
        <v xml:space="preserve">          6004 - STAFF HOURLY</v>
      </c>
      <c r="C162" s="11"/>
      <c r="D162" s="7">
        <v>22574.34</v>
      </c>
      <c r="E162" s="2"/>
      <c r="F162" s="6">
        <f t="shared" si="24"/>
        <v>2.6820138182104616E-2</v>
      </c>
      <c r="G162" s="2"/>
      <c r="H162" s="7">
        <v>38111.725100000003</v>
      </c>
      <c r="I162" s="2"/>
      <c r="J162" s="6">
        <f t="shared" si="25"/>
        <v>5.1149743591808364E-2</v>
      </c>
      <c r="K162" s="2"/>
      <c r="L162" s="7">
        <f t="shared" si="26"/>
        <v>-15537.385100000003</v>
      </c>
      <c r="M162" s="2"/>
      <c r="N162" s="6">
        <f t="shared" si="27"/>
        <v>-0.40767992157877947</v>
      </c>
      <c r="O162" s="11"/>
      <c r="P162" s="7">
        <v>191802.63</v>
      </c>
      <c r="Q162" s="2"/>
      <c r="R162" s="6">
        <f t="shared" si="28"/>
        <v>2.6918068076269758E-2</v>
      </c>
      <c r="S162" s="2"/>
      <c r="T162" s="7">
        <v>315411.86588</v>
      </c>
      <c r="U162" s="2"/>
      <c r="V162" s="6">
        <f t="shared" si="29"/>
        <v>3.0626822793500055E-2</v>
      </c>
      <c r="W162" s="2"/>
      <c r="X162" s="7">
        <f t="shared" si="30"/>
        <v>-123609.23587999999</v>
      </c>
      <c r="Y162" s="2"/>
      <c r="Z162" s="6">
        <f t="shared" si="31"/>
        <v>-0.39189786197526172</v>
      </c>
    </row>
    <row r="163" spans="1:26" s="24" customFormat="1" hidden="1" outlineLevel="2" x14ac:dyDescent="0.25">
      <c r="A163" s="26"/>
      <c r="B163" s="11" t="str">
        <f>CONCATENATE("          ", "6005", " - ", "TEMPORARY WAGES-HOURLY")</f>
        <v xml:space="preserve">          6005 - TEMPORARY WAGES-HOURLY</v>
      </c>
      <c r="C163" s="11"/>
      <c r="D163" s="7">
        <v>16005.07</v>
      </c>
      <c r="E163" s="2"/>
      <c r="F163" s="6">
        <f t="shared" si="24"/>
        <v>1.9015315132768319E-2</v>
      </c>
      <c r="G163" s="2"/>
      <c r="H163" s="7">
        <v>7135</v>
      </c>
      <c r="I163" s="2"/>
      <c r="J163" s="6">
        <f t="shared" si="25"/>
        <v>9.5758830010964965E-3</v>
      </c>
      <c r="K163" s="2"/>
      <c r="L163" s="7">
        <f t="shared" si="26"/>
        <v>8870.07</v>
      </c>
      <c r="M163" s="2"/>
      <c r="N163" s="6">
        <f t="shared" si="27"/>
        <v>1.243177295024527</v>
      </c>
      <c r="O163" s="11"/>
      <c r="P163" s="7">
        <v>152232.04999999999</v>
      </c>
      <c r="Q163" s="2"/>
      <c r="R163" s="6">
        <f t="shared" si="28"/>
        <v>2.1364632410359029E-2</v>
      </c>
      <c r="S163" s="2"/>
      <c r="T163" s="7">
        <v>46246.44</v>
      </c>
      <c r="U163" s="2"/>
      <c r="V163" s="6">
        <f t="shared" si="29"/>
        <v>4.4905777997873491E-3</v>
      </c>
      <c r="W163" s="2"/>
      <c r="X163" s="7">
        <f t="shared" si="30"/>
        <v>105985.60999999999</v>
      </c>
      <c r="Y163" s="2"/>
      <c r="Z163" s="6">
        <f t="shared" si="31"/>
        <v>2.2917571601187028</v>
      </c>
    </row>
    <row r="164" spans="1:26" s="24" customFormat="1" hidden="1" outlineLevel="2" x14ac:dyDescent="0.25">
      <c r="A164" s="26"/>
      <c r="B164" s="11" t="str">
        <f>CONCATENATE("          ", "6006", " - ", "TEMPORARY PART TIME")</f>
        <v xml:space="preserve">          6006 - TEMPORARY PART TIME</v>
      </c>
      <c r="C164" s="11"/>
      <c r="D164" s="7">
        <v>2893.47</v>
      </c>
      <c r="E164" s="2"/>
      <c r="F164" s="6">
        <f t="shared" si="24"/>
        <v>3.4376759287657686E-3</v>
      </c>
      <c r="G164" s="2"/>
      <c r="H164" s="7">
        <v>0</v>
      </c>
      <c r="I164" s="2"/>
      <c r="J164" s="6">
        <f t="shared" si="25"/>
        <v>0</v>
      </c>
      <c r="K164" s="2"/>
      <c r="L164" s="7">
        <f t="shared" si="26"/>
        <v>2893.47</v>
      </c>
      <c r="M164" s="2"/>
      <c r="N164" s="6">
        <f t="shared" si="27"/>
        <v>0</v>
      </c>
      <c r="O164" s="11"/>
      <c r="P164" s="7">
        <v>16946.759999999998</v>
      </c>
      <c r="Q164" s="2"/>
      <c r="R164" s="6">
        <f t="shared" si="28"/>
        <v>2.3783513257988444E-3</v>
      </c>
      <c r="S164" s="2"/>
      <c r="T164" s="7">
        <v>0</v>
      </c>
      <c r="U164" s="2"/>
      <c r="V164" s="6">
        <f t="shared" si="29"/>
        <v>0</v>
      </c>
      <c r="W164" s="2"/>
      <c r="X164" s="7">
        <f t="shared" si="30"/>
        <v>16946.759999999998</v>
      </c>
      <c r="Y164" s="2"/>
      <c r="Z164" s="6">
        <f t="shared" si="31"/>
        <v>0</v>
      </c>
    </row>
    <row r="165" spans="1:26" s="24" customFormat="1" hidden="1" outlineLevel="2" x14ac:dyDescent="0.25">
      <c r="A165" s="26"/>
      <c r="B165" s="11" t="str">
        <f>CONCATENATE("          ", "6007", " - ", "STUDENT HOURLY")</f>
        <v xml:space="preserve">          6007 - STUDENT HOURLY</v>
      </c>
      <c r="C165" s="11"/>
      <c r="D165" s="7">
        <v>15886.89</v>
      </c>
      <c r="E165" s="2"/>
      <c r="F165" s="6">
        <f t="shared" si="24"/>
        <v>1.8874907752957384E-2</v>
      </c>
      <c r="G165" s="2"/>
      <c r="H165" s="7">
        <v>0</v>
      </c>
      <c r="I165" s="2"/>
      <c r="J165" s="6">
        <f t="shared" si="25"/>
        <v>0</v>
      </c>
      <c r="K165" s="2"/>
      <c r="L165" s="7">
        <f t="shared" si="26"/>
        <v>15886.89</v>
      </c>
      <c r="M165" s="2"/>
      <c r="N165" s="6">
        <f t="shared" si="27"/>
        <v>0</v>
      </c>
      <c r="O165" s="11"/>
      <c r="P165" s="7">
        <v>290307.42</v>
      </c>
      <c r="Q165" s="2"/>
      <c r="R165" s="6">
        <f t="shared" si="28"/>
        <v>4.0742480406062397E-2</v>
      </c>
      <c r="S165" s="2"/>
      <c r="T165" s="7">
        <v>157314.8425</v>
      </c>
      <c r="U165" s="2"/>
      <c r="V165" s="6">
        <f t="shared" si="29"/>
        <v>1.5275436105082755E-2</v>
      </c>
      <c r="W165" s="2"/>
      <c r="X165" s="7">
        <f t="shared" si="30"/>
        <v>132992.57749999998</v>
      </c>
      <c r="Y165" s="2"/>
      <c r="Z165" s="6">
        <f t="shared" si="31"/>
        <v>0.84539116199413911</v>
      </c>
    </row>
    <row r="166" spans="1:26" s="24" customFormat="1" hidden="1" outlineLevel="2" x14ac:dyDescent="0.25">
      <c r="A166" s="26"/>
      <c r="B166" s="11" t="str">
        <f>CONCATENATE("          ", "6008", " - ", "STUDENT HOURLY-FICA EXEMPT")</f>
        <v xml:space="preserve">          6008 - STUDENT HOURLY-FICA EXEMPT</v>
      </c>
      <c r="C166" s="11"/>
      <c r="D166" s="7">
        <v>1590.33</v>
      </c>
      <c r="E166" s="2"/>
      <c r="F166" s="6">
        <f t="shared" si="24"/>
        <v>1.8894404157617202E-3</v>
      </c>
      <c r="G166" s="2"/>
      <c r="H166" s="7">
        <v>77659.44</v>
      </c>
      <c r="I166" s="2"/>
      <c r="J166" s="6">
        <f t="shared" si="25"/>
        <v>0.10422672899378742</v>
      </c>
      <c r="K166" s="2"/>
      <c r="L166" s="7">
        <f t="shared" si="26"/>
        <v>-76069.11</v>
      </c>
      <c r="M166" s="2"/>
      <c r="N166" s="6">
        <f t="shared" si="27"/>
        <v>-0.97952174262394887</v>
      </c>
      <c r="O166" s="11"/>
      <c r="P166" s="7">
        <v>10001.950000000001</v>
      </c>
      <c r="Q166" s="2"/>
      <c r="R166" s="6">
        <f t="shared" si="28"/>
        <v>1.4036990577003367E-3</v>
      </c>
      <c r="S166" s="2"/>
      <c r="T166" s="7">
        <v>689083.33866999997</v>
      </c>
      <c r="U166" s="2"/>
      <c r="V166" s="6">
        <f t="shared" si="29"/>
        <v>6.6910714486019873E-2</v>
      </c>
      <c r="W166" s="2"/>
      <c r="X166" s="7">
        <f t="shared" si="30"/>
        <v>-679081.38867000001</v>
      </c>
      <c r="Y166" s="2"/>
      <c r="Z166" s="6">
        <f t="shared" si="31"/>
        <v>-0.98548513737205612</v>
      </c>
    </row>
    <row r="167" spans="1:26" s="24" customFormat="1" hidden="1" outlineLevel="2" x14ac:dyDescent="0.25">
      <c r="A167" s="26"/>
      <c r="B167" s="11" t="str">
        <f>CONCATENATE("          ", "6009", " - ", "TEMPORARY-SEASONAL")</f>
        <v xml:space="preserve">          6009 - TEMPORARY-SEASONAL</v>
      </c>
      <c r="C167" s="11"/>
      <c r="D167" s="7"/>
      <c r="E167" s="2"/>
      <c r="F167" s="6">
        <f t="shared" si="24"/>
        <v>0</v>
      </c>
      <c r="G167" s="2"/>
      <c r="H167" s="7">
        <v>0</v>
      </c>
      <c r="I167" s="2"/>
      <c r="J167" s="6">
        <f t="shared" si="25"/>
        <v>0</v>
      </c>
      <c r="K167" s="2"/>
      <c r="L167" s="7">
        <f t="shared" si="26"/>
        <v>0</v>
      </c>
      <c r="M167" s="2"/>
      <c r="N167" s="6">
        <f t="shared" si="27"/>
        <v>0</v>
      </c>
      <c r="O167" s="11"/>
      <c r="P167" s="7"/>
      <c r="Q167" s="2"/>
      <c r="R167" s="6">
        <f t="shared" si="28"/>
        <v>0</v>
      </c>
      <c r="S167" s="2"/>
      <c r="T167" s="7">
        <v>0</v>
      </c>
      <c r="U167" s="2"/>
      <c r="V167" s="6">
        <f t="shared" si="29"/>
        <v>0</v>
      </c>
      <c r="W167" s="2"/>
      <c r="X167" s="7">
        <f t="shared" si="30"/>
        <v>0</v>
      </c>
      <c r="Y167" s="2"/>
      <c r="Z167" s="6">
        <f t="shared" si="31"/>
        <v>0</v>
      </c>
    </row>
    <row r="168" spans="1:26" s="24" customFormat="1" hidden="1" outlineLevel="2" x14ac:dyDescent="0.25">
      <c r="A168" s="26"/>
      <c r="B168" s="11" t="str">
        <f>CONCATENATE("          ", "6010", " - ", "GRATUITY")</f>
        <v xml:space="preserve">          6010 - GRATUITY</v>
      </c>
      <c r="C168" s="11"/>
      <c r="D168" s="7"/>
      <c r="E168" s="2"/>
      <c r="F168" s="6">
        <f t="shared" si="24"/>
        <v>0</v>
      </c>
      <c r="G168" s="2"/>
      <c r="H168" s="7">
        <v>0</v>
      </c>
      <c r="I168" s="2"/>
      <c r="J168" s="6">
        <f t="shared" si="25"/>
        <v>0</v>
      </c>
      <c r="K168" s="2"/>
      <c r="L168" s="7">
        <f t="shared" si="26"/>
        <v>0</v>
      </c>
      <c r="M168" s="2"/>
      <c r="N168" s="6">
        <f t="shared" si="27"/>
        <v>0</v>
      </c>
      <c r="O168" s="11"/>
      <c r="P168" s="7"/>
      <c r="Q168" s="2"/>
      <c r="R168" s="6">
        <f t="shared" si="28"/>
        <v>0</v>
      </c>
      <c r="S168" s="2"/>
      <c r="T168" s="7">
        <v>0</v>
      </c>
      <c r="U168" s="2"/>
      <c r="V168" s="6">
        <f t="shared" si="29"/>
        <v>0</v>
      </c>
      <c r="W168" s="2"/>
      <c r="X168" s="7">
        <f t="shared" si="30"/>
        <v>0</v>
      </c>
      <c r="Y168" s="2"/>
      <c r="Z168" s="6">
        <f t="shared" si="31"/>
        <v>0</v>
      </c>
    </row>
    <row r="169" spans="1:26" s="25" customFormat="1" outlineLevel="1" collapsed="1" x14ac:dyDescent="0.25">
      <c r="A169" s="27"/>
      <c r="B169" s="13" t="str">
        <f>CONCATENATE("     ","Advertising/Promo                                 ")</f>
        <v xml:space="preserve">     Advertising/Promo                                 </v>
      </c>
      <c r="C169" s="13"/>
      <c r="D169" s="1">
        <f>SUM(OSRRefD22_2x_0)</f>
        <v>1340.29</v>
      </c>
      <c r="E169" s="1"/>
      <c r="F169" s="5">
        <f t="shared" ref="F169:F173" si="32">IF(D$12=0,0,D169/D$12)</f>
        <v>1.5923727118530595E-3</v>
      </c>
      <c r="G169" s="1"/>
      <c r="H169" s="1">
        <f>SUM(OSRRefH22_2x_0)</f>
        <v>1080</v>
      </c>
      <c r="I169" s="1"/>
      <c r="J169" s="5">
        <f t="shared" ref="J169:J173" si="33">IF(H$12=0,0,H169/H$12)</f>
        <v>1.4494679244827211E-3</v>
      </c>
      <c r="K169" s="1"/>
      <c r="L169" s="1">
        <f t="shared" ref="L169:L173" si="34">+D169-H169</f>
        <v>260.28999999999996</v>
      </c>
      <c r="M169" s="1"/>
      <c r="N169" s="5">
        <f t="shared" ref="N169:N173" si="35">IF(H169=0,0,L169/H169)</f>
        <v>0.24100925925925923</v>
      </c>
      <c r="O169" s="13"/>
      <c r="P169" s="1">
        <f>SUM(OSRRefP22_2x_0)</f>
        <v>18161.439999999999</v>
      </c>
      <c r="Q169" s="1"/>
      <c r="R169" s="5">
        <f t="shared" ref="R169:R173" si="36">IF(P$12=0,0,P169/P$12)</f>
        <v>2.5488226010409168E-3</v>
      </c>
      <c r="S169" s="1"/>
      <c r="T169" s="1">
        <f>SUM(OSRRefT22_2x_0)</f>
        <v>14600</v>
      </c>
      <c r="U169" s="1"/>
      <c r="V169" s="5">
        <f t="shared" ref="V169:V173" si="37">IF(T$12=0,0,T169/T$12)</f>
        <v>1.4176753038049046E-3</v>
      </c>
      <c r="W169" s="1"/>
      <c r="X169" s="1">
        <f t="shared" ref="X169:X173" si="38">+P169-T169</f>
        <v>3561.4399999999987</v>
      </c>
      <c r="Y169" s="1"/>
      <c r="Z169" s="5">
        <f t="shared" ref="Z169:Z173" si="39">IF(T169=0,0,X169/T169)</f>
        <v>0.24393424657534238</v>
      </c>
    </row>
    <row r="170" spans="1:26" s="24" customFormat="1" hidden="1" outlineLevel="2" x14ac:dyDescent="0.25">
      <c r="A170" s="26"/>
      <c r="B170" s="11" t="str">
        <f>CONCATENATE("          ", "6362", " - ", "ADVERTISING EXPENSE")</f>
        <v xml:space="preserve">          6362 - ADVERTISING EXPENSE</v>
      </c>
      <c r="C170" s="11"/>
      <c r="D170" s="7">
        <v>1340.29</v>
      </c>
      <c r="E170" s="2"/>
      <c r="F170" s="6">
        <f t="shared" si="32"/>
        <v>1.5923727118530595E-3</v>
      </c>
      <c r="G170" s="2"/>
      <c r="H170" s="7">
        <v>1080</v>
      </c>
      <c r="I170" s="2"/>
      <c r="J170" s="6">
        <f t="shared" si="33"/>
        <v>1.4494679244827211E-3</v>
      </c>
      <c r="K170" s="2"/>
      <c r="L170" s="7">
        <f t="shared" si="34"/>
        <v>260.28999999999996</v>
      </c>
      <c r="M170" s="2"/>
      <c r="N170" s="6">
        <f t="shared" si="35"/>
        <v>0.24100925925925923</v>
      </c>
      <c r="O170" s="11"/>
      <c r="P170" s="7">
        <v>18161.439999999999</v>
      </c>
      <c r="Q170" s="2"/>
      <c r="R170" s="6">
        <f t="shared" si="36"/>
        <v>2.5488226010409168E-3</v>
      </c>
      <c r="S170" s="2"/>
      <c r="T170" s="7">
        <v>14600</v>
      </c>
      <c r="U170" s="2"/>
      <c r="V170" s="6">
        <f t="shared" si="37"/>
        <v>1.4176753038049046E-3</v>
      </c>
      <c r="W170" s="2"/>
      <c r="X170" s="7">
        <f t="shared" si="38"/>
        <v>3561.4399999999987</v>
      </c>
      <c r="Y170" s="2"/>
      <c r="Z170" s="6">
        <f t="shared" si="39"/>
        <v>0.24393424657534238</v>
      </c>
    </row>
    <row r="171" spans="1:26" s="25" customFormat="1" outlineLevel="1" collapsed="1" x14ac:dyDescent="0.25">
      <c r="A171" s="27"/>
      <c r="B171" s="13" t="str">
        <f>CONCATENATE("     ","Bad Debts/Over/Short                              ")</f>
        <v xml:space="preserve">     Bad Debts/Over/Short                              </v>
      </c>
      <c r="C171" s="13"/>
      <c r="D171" s="1">
        <f>SUM(OSRRefD22_3x_0)</f>
        <v>-1.25</v>
      </c>
      <c r="E171" s="1"/>
      <c r="F171" s="5">
        <f t="shared" si="32"/>
        <v>-1.4851009033987602E-6</v>
      </c>
      <c r="G171" s="1"/>
      <c r="H171" s="1">
        <f>SUM(OSRRefH22_3x_0)</f>
        <v>110</v>
      </c>
      <c r="I171" s="1"/>
      <c r="J171" s="5">
        <f t="shared" si="33"/>
        <v>1.4763099230842531E-4</v>
      </c>
      <c r="K171" s="1"/>
      <c r="L171" s="1">
        <f t="shared" si="34"/>
        <v>-111.25</v>
      </c>
      <c r="M171" s="1"/>
      <c r="N171" s="5">
        <f t="shared" si="35"/>
        <v>-1.0113636363636365</v>
      </c>
      <c r="O171" s="13"/>
      <c r="P171" s="1">
        <f>SUM(OSRRefP22_3x_0)</f>
        <v>5182.7</v>
      </c>
      <c r="Q171" s="1"/>
      <c r="R171" s="5">
        <f t="shared" si="36"/>
        <v>7.2735327674538803E-4</v>
      </c>
      <c r="S171" s="1"/>
      <c r="T171" s="1">
        <f>SUM(OSRRefT22_3x_0)</f>
        <v>1100</v>
      </c>
      <c r="U171" s="1"/>
      <c r="V171" s="5">
        <f t="shared" si="37"/>
        <v>1.0681115302639692E-4</v>
      </c>
      <c r="W171" s="1"/>
      <c r="X171" s="1">
        <f t="shared" si="38"/>
        <v>4082.7</v>
      </c>
      <c r="Y171" s="1"/>
      <c r="Z171" s="5">
        <f t="shared" si="39"/>
        <v>3.7115454545454543</v>
      </c>
    </row>
    <row r="172" spans="1:26" s="24" customFormat="1" hidden="1" outlineLevel="2" x14ac:dyDescent="0.25">
      <c r="A172" s="26"/>
      <c r="B172" s="11" t="str">
        <f>CONCATENATE("          ", "6272", " - ", "CASH (OVER/SHORT)")</f>
        <v xml:space="preserve">          6272 - CASH (OVER/SHORT)</v>
      </c>
      <c r="C172" s="11"/>
      <c r="D172" s="7">
        <v>-1.25</v>
      </c>
      <c r="E172" s="2"/>
      <c r="F172" s="6">
        <f t="shared" si="32"/>
        <v>-1.4851009033987602E-6</v>
      </c>
      <c r="G172" s="2"/>
      <c r="H172" s="7">
        <v>60</v>
      </c>
      <c r="I172" s="2"/>
      <c r="J172" s="6">
        <f t="shared" si="33"/>
        <v>8.0525995804595622E-5</v>
      </c>
      <c r="K172" s="2"/>
      <c r="L172" s="7">
        <f t="shared" si="34"/>
        <v>-61.25</v>
      </c>
      <c r="M172" s="2"/>
      <c r="N172" s="6">
        <f t="shared" si="35"/>
        <v>-1.0208333333333333</v>
      </c>
      <c r="O172" s="11"/>
      <c r="P172" s="7">
        <v>-166.72</v>
      </c>
      <c r="Q172" s="2"/>
      <c r="R172" s="6">
        <f t="shared" si="36"/>
        <v>-2.3397908097900919E-5</v>
      </c>
      <c r="S172" s="2"/>
      <c r="T172" s="7">
        <v>600</v>
      </c>
      <c r="U172" s="2"/>
      <c r="V172" s="6">
        <f t="shared" si="37"/>
        <v>5.826062892348923E-5</v>
      </c>
      <c r="W172" s="2"/>
      <c r="X172" s="7">
        <f t="shared" si="38"/>
        <v>-766.72</v>
      </c>
      <c r="Y172" s="2"/>
      <c r="Z172" s="6">
        <f t="shared" si="39"/>
        <v>-1.2778666666666667</v>
      </c>
    </row>
    <row r="173" spans="1:26" s="24" customFormat="1" hidden="1" outlineLevel="2" x14ac:dyDescent="0.25">
      <c r="A173" s="26"/>
      <c r="B173" s="11" t="str">
        <f>CONCATENATE("          ", "6342", " - ", "BAD DEBT")</f>
        <v xml:space="preserve">          6342 - BAD DEBT</v>
      </c>
      <c r="C173" s="11"/>
      <c r="D173" s="7"/>
      <c r="E173" s="2"/>
      <c r="F173" s="6">
        <f t="shared" si="32"/>
        <v>0</v>
      </c>
      <c r="G173" s="2"/>
      <c r="H173" s="7">
        <v>50</v>
      </c>
      <c r="I173" s="2"/>
      <c r="J173" s="6">
        <f t="shared" si="33"/>
        <v>6.7104996503829676E-5</v>
      </c>
      <c r="K173" s="2"/>
      <c r="L173" s="7">
        <f t="shared" si="34"/>
        <v>-50</v>
      </c>
      <c r="M173" s="2"/>
      <c r="N173" s="6">
        <f t="shared" si="35"/>
        <v>-1</v>
      </c>
      <c r="O173" s="11"/>
      <c r="P173" s="7">
        <v>5349.42</v>
      </c>
      <c r="Q173" s="2"/>
      <c r="R173" s="6">
        <f t="shared" si="36"/>
        <v>7.5075118484328903E-4</v>
      </c>
      <c r="S173" s="2"/>
      <c r="T173" s="7">
        <v>500</v>
      </c>
      <c r="U173" s="2"/>
      <c r="V173" s="6">
        <f t="shared" si="37"/>
        <v>4.8550524102907694E-5</v>
      </c>
      <c r="W173" s="2"/>
      <c r="X173" s="7">
        <f t="shared" si="38"/>
        <v>4849.42</v>
      </c>
      <c r="Y173" s="2"/>
      <c r="Z173" s="6">
        <f t="shared" si="39"/>
        <v>9.6988400000000006</v>
      </c>
    </row>
    <row r="174" spans="1:26" s="25" customFormat="1" outlineLevel="1" collapsed="1" x14ac:dyDescent="0.25">
      <c r="A174" s="27"/>
      <c r="B174" s="13" t="str">
        <f>CONCATENATE("     ","Bank/card Fees                                    ")</f>
        <v xml:space="preserve">     Bank/card Fees                                    </v>
      </c>
      <c r="C174" s="13"/>
      <c r="D174" s="1">
        <f>SUM(OSRRefD22_4x_0)</f>
        <v>5310.85</v>
      </c>
      <c r="E174" s="1"/>
      <c r="F174" s="5">
        <f t="shared" ref="F174:F178" si="40">IF(D$12=0,0,D174/D$12)</f>
        <v>6.3097185062522456E-3</v>
      </c>
      <c r="G174" s="1"/>
      <c r="H174" s="1">
        <f>SUM(OSRRefH22_4x_0)</f>
        <v>19252</v>
      </c>
      <c r="I174" s="1"/>
      <c r="J174" s="5">
        <f t="shared" ref="J174:J178" si="41">IF(H$12=0,0,H174/H$12)</f>
        <v>2.5838107853834582E-2</v>
      </c>
      <c r="K174" s="1"/>
      <c r="L174" s="1">
        <f t="shared" ref="L174:L178" si="42">+D174-H174</f>
        <v>-13941.15</v>
      </c>
      <c r="M174" s="1"/>
      <c r="N174" s="5">
        <f t="shared" ref="N174:N178" si="43">IF(H174=0,0,L174/H174)</f>
        <v>-0.72414034905464364</v>
      </c>
      <c r="O174" s="13"/>
      <c r="P174" s="1">
        <f>SUM(OSRRefP22_4x_0)</f>
        <v>74635.86</v>
      </c>
      <c r="Q174" s="1"/>
      <c r="R174" s="5">
        <f t="shared" ref="R174:R178" si="44">IF(P$12=0,0,P174/P$12)</f>
        <v>1.0474586090977683E-2</v>
      </c>
      <c r="S174" s="1"/>
      <c r="T174" s="1">
        <f>SUM(OSRRefT22_4x_0)</f>
        <v>187983</v>
      </c>
      <c r="U174" s="1"/>
      <c r="V174" s="5">
        <f t="shared" ref="V174:V178" si="45">IF(T$12=0,0,T174/T$12)</f>
        <v>1.8253346344873793E-2</v>
      </c>
      <c r="W174" s="1"/>
      <c r="X174" s="1">
        <f t="shared" ref="X174:X178" si="46">+P174-T174</f>
        <v>-113347.14</v>
      </c>
      <c r="Y174" s="1"/>
      <c r="Z174" s="5">
        <f t="shared" ref="Z174:Z178" si="47">IF(T174=0,0,X174/T174)</f>
        <v>-0.60296484256555116</v>
      </c>
    </row>
    <row r="175" spans="1:26" s="24" customFormat="1" hidden="1" outlineLevel="2" x14ac:dyDescent="0.25">
      <c r="A175" s="26"/>
      <c r="B175" s="11" t="str">
        <f>CONCATENATE("          ", "6381", " - ", "BANK/CREDIT CARD FEES")</f>
        <v xml:space="preserve">          6381 - BANK/CREDIT CARD FEES</v>
      </c>
      <c r="C175" s="11"/>
      <c r="D175" s="7">
        <v>5310.85</v>
      </c>
      <c r="E175" s="2"/>
      <c r="F175" s="6">
        <f t="shared" si="40"/>
        <v>6.3097185062522456E-3</v>
      </c>
      <c r="G175" s="2"/>
      <c r="H175" s="7">
        <v>19252</v>
      </c>
      <c r="I175" s="2"/>
      <c r="J175" s="6">
        <f t="shared" si="41"/>
        <v>2.5838107853834582E-2</v>
      </c>
      <c r="K175" s="2"/>
      <c r="L175" s="7">
        <f t="shared" si="42"/>
        <v>-13941.15</v>
      </c>
      <c r="M175" s="2"/>
      <c r="N175" s="6">
        <f t="shared" si="43"/>
        <v>-0.72414034905464364</v>
      </c>
      <c r="O175" s="11"/>
      <c r="P175" s="7">
        <v>74635.86</v>
      </c>
      <c r="Q175" s="2"/>
      <c r="R175" s="6">
        <f t="shared" si="44"/>
        <v>1.0474586090977683E-2</v>
      </c>
      <c r="S175" s="2"/>
      <c r="T175" s="7">
        <v>187983</v>
      </c>
      <c r="U175" s="2"/>
      <c r="V175" s="6">
        <f t="shared" si="45"/>
        <v>1.8253346344873793E-2</v>
      </c>
      <c r="W175" s="2"/>
      <c r="X175" s="7">
        <f t="shared" si="46"/>
        <v>-113347.14</v>
      </c>
      <c r="Y175" s="2"/>
      <c r="Z175" s="6">
        <f t="shared" si="47"/>
        <v>-0.60296484256555116</v>
      </c>
    </row>
    <row r="176" spans="1:26" s="25" customFormat="1" outlineLevel="1" collapsed="1" x14ac:dyDescent="0.25">
      <c r="A176" s="27"/>
      <c r="B176" s="13" t="str">
        <f>CONCATENATE("     ","Depreciation                                      ")</f>
        <v xml:space="preserve">     Depreciation                                      </v>
      </c>
      <c r="C176" s="13"/>
      <c r="D176" s="1">
        <f>SUM(OSRRefD22_5x_0)</f>
        <v>31016.29</v>
      </c>
      <c r="E176" s="1"/>
      <c r="F176" s="5">
        <f t="shared" si="40"/>
        <v>3.6849856239262346E-2</v>
      </c>
      <c r="G176" s="1"/>
      <c r="H176" s="1">
        <f>SUM(OSRRefH22_5x_0)</f>
        <v>30594</v>
      </c>
      <c r="I176" s="1"/>
      <c r="J176" s="5">
        <f t="shared" si="41"/>
        <v>4.1060205260763309E-2</v>
      </c>
      <c r="K176" s="1"/>
      <c r="L176" s="1">
        <f t="shared" si="42"/>
        <v>422.29000000000087</v>
      </c>
      <c r="M176" s="1"/>
      <c r="N176" s="5">
        <f t="shared" si="43"/>
        <v>1.3803033274498297E-2</v>
      </c>
      <c r="O176" s="13"/>
      <c r="P176" s="1">
        <f>SUM(OSRRefP22_5x_0)</f>
        <v>310458.39</v>
      </c>
      <c r="Q176" s="1"/>
      <c r="R176" s="5">
        <f t="shared" si="44"/>
        <v>4.3570518698670117E-2</v>
      </c>
      <c r="S176" s="1"/>
      <c r="T176" s="1">
        <f>SUM(OSRRefT22_5x_0)</f>
        <v>306948</v>
      </c>
      <c r="U176" s="1"/>
      <c r="V176" s="5">
        <f t="shared" si="45"/>
        <v>2.9804972544678621E-2</v>
      </c>
      <c r="W176" s="1"/>
      <c r="X176" s="1">
        <f t="shared" si="46"/>
        <v>3510.390000000014</v>
      </c>
      <c r="Y176" s="1"/>
      <c r="Z176" s="5">
        <f t="shared" si="47"/>
        <v>1.1436432229563359E-2</v>
      </c>
    </row>
    <row r="177" spans="1:26" s="24" customFormat="1" hidden="1" outlineLevel="2" x14ac:dyDescent="0.25">
      <c r="A177" s="26"/>
      <c r="B177" s="11" t="str">
        <f>CONCATENATE("          ", "6321", " - ", "BUILDING DEPRECIATION")</f>
        <v xml:space="preserve">          6321 - BUILDING DEPRECIATION</v>
      </c>
      <c r="C177" s="11"/>
      <c r="D177" s="7">
        <v>16396.52</v>
      </c>
      <c r="E177" s="2"/>
      <c r="F177" s="6">
        <f t="shared" si="40"/>
        <v>1.9480389331676673E-2</v>
      </c>
      <c r="G177" s="2"/>
      <c r="H177" s="7"/>
      <c r="I177" s="2"/>
      <c r="J177" s="6">
        <f t="shared" si="41"/>
        <v>0</v>
      </c>
      <c r="K177" s="2"/>
      <c r="L177" s="7">
        <f t="shared" si="42"/>
        <v>16396.52</v>
      </c>
      <c r="M177" s="2"/>
      <c r="N177" s="6">
        <f t="shared" si="43"/>
        <v>0</v>
      </c>
      <c r="O177" s="11"/>
      <c r="P177" s="7">
        <v>163965.20000000001</v>
      </c>
      <c r="Q177" s="2"/>
      <c r="R177" s="6">
        <f t="shared" si="44"/>
        <v>2.3011292471532774E-2</v>
      </c>
      <c r="S177" s="2"/>
      <c r="T177" s="7"/>
      <c r="U177" s="2"/>
      <c r="V177" s="6">
        <f t="shared" si="45"/>
        <v>0</v>
      </c>
      <c r="W177" s="2"/>
      <c r="X177" s="7">
        <f t="shared" si="46"/>
        <v>163965.20000000001</v>
      </c>
      <c r="Y177" s="2"/>
      <c r="Z177" s="6">
        <f t="shared" si="47"/>
        <v>0</v>
      </c>
    </row>
    <row r="178" spans="1:26" s="24" customFormat="1" hidden="1" outlineLevel="2" x14ac:dyDescent="0.25">
      <c r="A178" s="26"/>
      <c r="B178" s="11" t="str">
        <f>CONCATENATE("          ", "6322", " - ", "EQUIPMENT DEPRECIATION EXPENSE")</f>
        <v xml:space="preserve">          6322 - EQUIPMENT DEPRECIATION EXPENSE</v>
      </c>
      <c r="C178" s="11"/>
      <c r="D178" s="7">
        <v>14619.77</v>
      </c>
      <c r="E178" s="2"/>
      <c r="F178" s="6">
        <f t="shared" si="40"/>
        <v>1.7369466907585677E-2</v>
      </c>
      <c r="G178" s="2"/>
      <c r="H178" s="7">
        <v>30594</v>
      </c>
      <c r="I178" s="2"/>
      <c r="J178" s="6">
        <f t="shared" si="41"/>
        <v>4.1060205260763309E-2</v>
      </c>
      <c r="K178" s="2"/>
      <c r="L178" s="7">
        <f t="shared" si="42"/>
        <v>-15974.23</v>
      </c>
      <c r="M178" s="2"/>
      <c r="N178" s="6">
        <f t="shared" si="43"/>
        <v>-0.52213603974635547</v>
      </c>
      <c r="O178" s="11"/>
      <c r="P178" s="7">
        <v>146493.19</v>
      </c>
      <c r="Q178" s="2"/>
      <c r="R178" s="6">
        <f t="shared" si="44"/>
        <v>2.0559226227137344E-2</v>
      </c>
      <c r="S178" s="2"/>
      <c r="T178" s="7">
        <v>306948</v>
      </c>
      <c r="U178" s="2"/>
      <c r="V178" s="6">
        <f t="shared" si="45"/>
        <v>2.9804972544678621E-2</v>
      </c>
      <c r="W178" s="2"/>
      <c r="X178" s="7">
        <f t="shared" si="46"/>
        <v>-160454.81</v>
      </c>
      <c r="Y178" s="2"/>
      <c r="Z178" s="6">
        <f t="shared" si="47"/>
        <v>-0.52274264696300354</v>
      </c>
    </row>
    <row r="179" spans="1:26" s="25" customFormat="1" outlineLevel="1" collapsed="1" x14ac:dyDescent="0.25">
      <c r="A179" s="27"/>
      <c r="B179" s="13" t="str">
        <f>CONCATENATE("     ","Discounts and Markdowns                           ")</f>
        <v xml:space="preserve">     Discounts and Markdowns                           </v>
      </c>
      <c r="C179" s="13"/>
      <c r="D179" s="1">
        <f>SUM(OSRRefD22_6x_0)</f>
        <v>-15.43</v>
      </c>
      <c r="E179" s="1"/>
      <c r="F179" s="5">
        <f t="shared" ref="F179:F181" si="48">IF(D$12=0,0,D179/D$12)</f>
        <v>-1.8332085551554298E-5</v>
      </c>
      <c r="G179" s="1"/>
      <c r="H179" s="1">
        <f>SUM(OSRRefH22_6x_0)</f>
        <v>36496</v>
      </c>
      <c r="I179" s="1"/>
      <c r="J179" s="5">
        <f t="shared" ref="J179:J181" si="49">IF(H$12=0,0,H179/H$12)</f>
        <v>4.8981279048075359E-2</v>
      </c>
      <c r="K179" s="1"/>
      <c r="L179" s="1">
        <f t="shared" ref="L179:L181" si="50">+D179-H179</f>
        <v>-36511.43</v>
      </c>
      <c r="M179" s="1"/>
      <c r="N179" s="5">
        <f t="shared" ref="N179:N181" si="51">IF(H179=0,0,L179/H179)</f>
        <v>-1.0004227860587462</v>
      </c>
      <c r="O179" s="13"/>
      <c r="P179" s="1">
        <f>SUM(OSRRefP22_6x_0)</f>
        <v>-15.43</v>
      </c>
      <c r="Q179" s="1"/>
      <c r="R179" s="5">
        <f t="shared" ref="R179:R181" si="52">IF(P$12=0,0,P179/P$12)</f>
        <v>-2.1654853763832246E-6</v>
      </c>
      <c r="S179" s="1"/>
      <c r="T179" s="1">
        <f>SUM(OSRRefT22_6x_0)</f>
        <v>314294</v>
      </c>
      <c r="U179" s="1"/>
      <c r="V179" s="5">
        <f t="shared" ref="V179:V181" si="53">IF(T$12=0,0,T179/T$12)</f>
        <v>3.0518276844798541E-2</v>
      </c>
      <c r="W179" s="1"/>
      <c r="X179" s="1">
        <f t="shared" ref="X179:X181" si="54">+P179-T179</f>
        <v>-314309.43</v>
      </c>
      <c r="Y179" s="1"/>
      <c r="Z179" s="5">
        <f t="shared" ref="Z179:Z181" si="55">IF(T179=0,0,X179/T179)</f>
        <v>-1.0000490941602449</v>
      </c>
    </row>
    <row r="180" spans="1:26" s="24" customFormat="1" hidden="1" outlineLevel="2" x14ac:dyDescent="0.25">
      <c r="A180" s="26"/>
      <c r="B180" s="11" t="str">
        <f>CONCATENATE("          ", "6382", " - ", "DISCOUNTS/MARK DOWNS")</f>
        <v xml:space="preserve">          6382 - DISCOUNTS/MARK DOWNS</v>
      </c>
      <c r="C180" s="11"/>
      <c r="D180" s="7">
        <v>0</v>
      </c>
      <c r="E180" s="2"/>
      <c r="F180" s="6">
        <f t="shared" si="48"/>
        <v>0</v>
      </c>
      <c r="G180" s="2"/>
      <c r="H180" s="7">
        <v>36496</v>
      </c>
      <c r="I180" s="2"/>
      <c r="J180" s="6">
        <f t="shared" si="49"/>
        <v>4.8981279048075359E-2</v>
      </c>
      <c r="K180" s="2"/>
      <c r="L180" s="7">
        <f t="shared" si="50"/>
        <v>-36496</v>
      </c>
      <c r="M180" s="2"/>
      <c r="N180" s="6">
        <f t="shared" si="51"/>
        <v>-1</v>
      </c>
      <c r="O180" s="11"/>
      <c r="P180" s="7">
        <v>0</v>
      </c>
      <c r="Q180" s="2"/>
      <c r="R180" s="6">
        <f t="shared" si="52"/>
        <v>0</v>
      </c>
      <c r="S180" s="2"/>
      <c r="T180" s="7">
        <v>314294</v>
      </c>
      <c r="U180" s="2"/>
      <c r="V180" s="6">
        <f t="shared" si="53"/>
        <v>3.0518276844798541E-2</v>
      </c>
      <c r="W180" s="2"/>
      <c r="X180" s="7">
        <f t="shared" si="54"/>
        <v>-314294</v>
      </c>
      <c r="Y180" s="2"/>
      <c r="Z180" s="6">
        <f t="shared" si="55"/>
        <v>-1</v>
      </c>
    </row>
    <row r="181" spans="1:26" s="24" customFormat="1" hidden="1" outlineLevel="2" x14ac:dyDescent="0.25">
      <c r="A181" s="26"/>
      <c r="B181" s="11" t="str">
        <f>CONCATENATE("          ", "9175", " - ", "EARNED DISCOUNTS")</f>
        <v xml:space="preserve">          9175 - EARNED DISCOUNTS</v>
      </c>
      <c r="C181" s="11"/>
      <c r="D181" s="7">
        <v>-15.43</v>
      </c>
      <c r="E181" s="2"/>
      <c r="F181" s="6">
        <f t="shared" si="48"/>
        <v>-1.8332085551554298E-5</v>
      </c>
      <c r="G181" s="2"/>
      <c r="H181" s="7"/>
      <c r="I181" s="2"/>
      <c r="J181" s="6">
        <f t="shared" si="49"/>
        <v>0</v>
      </c>
      <c r="K181" s="2"/>
      <c r="L181" s="7">
        <f t="shared" si="50"/>
        <v>-15.43</v>
      </c>
      <c r="M181" s="2"/>
      <c r="N181" s="6">
        <f t="shared" si="51"/>
        <v>0</v>
      </c>
      <c r="O181" s="11"/>
      <c r="P181" s="7">
        <v>-15.43</v>
      </c>
      <c r="Q181" s="2"/>
      <c r="R181" s="6">
        <f t="shared" si="52"/>
        <v>-2.1654853763832246E-6</v>
      </c>
      <c r="S181" s="2"/>
      <c r="T181" s="7"/>
      <c r="U181" s="2"/>
      <c r="V181" s="6">
        <f t="shared" si="53"/>
        <v>0</v>
      </c>
      <c r="W181" s="2"/>
      <c r="X181" s="7">
        <f t="shared" si="54"/>
        <v>-15.43</v>
      </c>
      <c r="Y181" s="2"/>
      <c r="Z181" s="6">
        <f t="shared" si="55"/>
        <v>0</v>
      </c>
    </row>
    <row r="182" spans="1:26" s="25" customFormat="1" outlineLevel="1" collapsed="1" x14ac:dyDescent="0.25">
      <c r="A182" s="27"/>
      <c r="B182" s="13" t="str">
        <f>CONCATENATE("     ","Donations                                         ")</f>
        <v xml:space="preserve">     Donations                                         </v>
      </c>
      <c r="C182" s="13"/>
      <c r="D182" s="1">
        <f>SUM(OSRRefD22_7x_0)</f>
        <v>360.9</v>
      </c>
      <c r="E182" s="1"/>
      <c r="F182" s="5">
        <f t="shared" ref="F182:F184" si="56">IF(D$12=0,0,D182/D$12)</f>
        <v>4.2877833282929005E-4</v>
      </c>
      <c r="G182" s="1"/>
      <c r="H182" s="1">
        <f>SUM(OSRRefH22_7x_0)</f>
        <v>1000</v>
      </c>
      <c r="I182" s="1"/>
      <c r="J182" s="5">
        <f t="shared" ref="J182:J184" si="57">IF(H$12=0,0,H182/H$12)</f>
        <v>1.3420999300765937E-3</v>
      </c>
      <c r="K182" s="1"/>
      <c r="L182" s="1">
        <f t="shared" ref="L182:L184" si="58">+D182-H182</f>
        <v>-639.1</v>
      </c>
      <c r="M182" s="1"/>
      <c r="N182" s="5">
        <f t="shared" ref="N182:N184" si="59">IF(H182=0,0,L182/H182)</f>
        <v>-0.6391</v>
      </c>
      <c r="O182" s="13"/>
      <c r="P182" s="1">
        <f>SUM(OSRRefP22_7x_0)</f>
        <v>360.9</v>
      </c>
      <c r="Q182" s="1"/>
      <c r="R182" s="5">
        <f t="shared" ref="R182:R184" si="60">IF(P$12=0,0,P182/P$12)</f>
        <v>5.0649622316053509E-5</v>
      </c>
      <c r="S182" s="1"/>
      <c r="T182" s="1">
        <f>SUM(OSRRefT22_7x_0)</f>
        <v>10000</v>
      </c>
      <c r="U182" s="1"/>
      <c r="V182" s="5">
        <f t="shared" ref="V182:V184" si="61">IF(T$12=0,0,T182/T$12)</f>
        <v>9.7101048205815383E-4</v>
      </c>
      <c r="W182" s="1"/>
      <c r="X182" s="1">
        <f t="shared" ref="X182:X184" si="62">+P182-T182</f>
        <v>-9639.1</v>
      </c>
      <c r="Y182" s="1"/>
      <c r="Z182" s="5">
        <f t="shared" ref="Z182:Z184" si="63">IF(T182=0,0,X182/T182)</f>
        <v>-0.96391000000000004</v>
      </c>
    </row>
    <row r="183" spans="1:26" s="24" customFormat="1" hidden="1" outlineLevel="2" x14ac:dyDescent="0.25">
      <c r="A183" s="26"/>
      <c r="B183" s="11" t="str">
        <f>CONCATENATE("          ", "6395", " - ", "DONATION-OFF CAMPUS")</f>
        <v xml:space="preserve">          6395 - DONATION-OFF CAMPUS</v>
      </c>
      <c r="C183" s="11"/>
      <c r="D183" s="7"/>
      <c r="E183" s="2"/>
      <c r="F183" s="6">
        <f t="shared" si="56"/>
        <v>0</v>
      </c>
      <c r="G183" s="2"/>
      <c r="H183" s="7"/>
      <c r="I183" s="2"/>
      <c r="J183" s="6">
        <f t="shared" si="57"/>
        <v>0</v>
      </c>
      <c r="K183" s="2"/>
      <c r="L183" s="7">
        <f t="shared" si="58"/>
        <v>0</v>
      </c>
      <c r="M183" s="2"/>
      <c r="N183" s="6">
        <f t="shared" si="59"/>
        <v>0</v>
      </c>
      <c r="O183" s="11"/>
      <c r="P183" s="7"/>
      <c r="Q183" s="2"/>
      <c r="R183" s="6">
        <f t="shared" si="60"/>
        <v>0</v>
      </c>
      <c r="S183" s="2"/>
      <c r="T183" s="7">
        <v>0</v>
      </c>
      <c r="U183" s="2"/>
      <c r="V183" s="6">
        <f t="shared" si="61"/>
        <v>0</v>
      </c>
      <c r="W183" s="2"/>
      <c r="X183" s="7">
        <f t="shared" si="62"/>
        <v>0</v>
      </c>
      <c r="Y183" s="2"/>
      <c r="Z183" s="6">
        <f t="shared" si="63"/>
        <v>0</v>
      </c>
    </row>
    <row r="184" spans="1:26" s="24" customFormat="1" hidden="1" outlineLevel="2" x14ac:dyDescent="0.25">
      <c r="A184" s="26"/>
      <c r="B184" s="11" t="str">
        <f>CONCATENATE("          ", "6399", " - ", "DONATION-ON CAMPUS")</f>
        <v xml:space="preserve">          6399 - DONATION-ON CAMPUS</v>
      </c>
      <c r="C184" s="11"/>
      <c r="D184" s="7">
        <v>360.9</v>
      </c>
      <c r="E184" s="2"/>
      <c r="F184" s="6">
        <f t="shared" si="56"/>
        <v>4.2877833282929005E-4</v>
      </c>
      <c r="G184" s="2"/>
      <c r="H184" s="7">
        <v>1000</v>
      </c>
      <c r="I184" s="2"/>
      <c r="J184" s="6">
        <f t="shared" si="57"/>
        <v>1.3420999300765937E-3</v>
      </c>
      <c r="K184" s="2"/>
      <c r="L184" s="7">
        <f t="shared" si="58"/>
        <v>-639.1</v>
      </c>
      <c r="M184" s="2"/>
      <c r="N184" s="6">
        <f t="shared" si="59"/>
        <v>-0.6391</v>
      </c>
      <c r="O184" s="11"/>
      <c r="P184" s="7">
        <v>360.9</v>
      </c>
      <c r="Q184" s="2"/>
      <c r="R184" s="6">
        <f t="shared" si="60"/>
        <v>5.0649622316053509E-5</v>
      </c>
      <c r="S184" s="2"/>
      <c r="T184" s="7">
        <v>10000</v>
      </c>
      <c r="U184" s="2"/>
      <c r="V184" s="6">
        <f t="shared" si="61"/>
        <v>9.7101048205815383E-4</v>
      </c>
      <c r="W184" s="2"/>
      <c r="X184" s="7">
        <f t="shared" si="62"/>
        <v>-9639.1</v>
      </c>
      <c r="Y184" s="2"/>
      <c r="Z184" s="6">
        <f t="shared" si="63"/>
        <v>-0.96391000000000004</v>
      </c>
    </row>
    <row r="185" spans="1:26" s="25" customFormat="1" outlineLevel="1" collapsed="1" x14ac:dyDescent="0.25">
      <c r="A185" s="27"/>
      <c r="B185" s="13" t="str">
        <f>CONCATENATE("     ","Employees' Appreciation                           ")</f>
        <v xml:space="preserve">     Employees' Appreciation                           </v>
      </c>
      <c r="C185" s="13"/>
      <c r="D185" s="1">
        <f>SUM(OSRRefD22_8x_0)</f>
        <v>0</v>
      </c>
      <c r="E185" s="1"/>
      <c r="F185" s="5">
        <f t="shared" ref="F185:F191" si="64">IF(D$12=0,0,D185/D$12)</f>
        <v>0</v>
      </c>
      <c r="G185" s="1"/>
      <c r="H185" s="1">
        <f>SUM(OSRRefH22_8x_0)</f>
        <v>420</v>
      </c>
      <c r="I185" s="1"/>
      <c r="J185" s="5">
        <f t="shared" ref="J185:J191" si="65">IF(H$12=0,0,H185/H$12)</f>
        <v>5.6368197063216938E-4</v>
      </c>
      <c r="K185" s="1"/>
      <c r="L185" s="1">
        <f t="shared" ref="L185:L191" si="66">+D185-H185</f>
        <v>-420</v>
      </c>
      <c r="M185" s="1"/>
      <c r="N185" s="5">
        <f t="shared" ref="N185:N191" si="67">IF(H185=0,0,L185/H185)</f>
        <v>-1</v>
      </c>
      <c r="O185" s="13"/>
      <c r="P185" s="1">
        <f>SUM(OSRRefP22_8x_0)</f>
        <v>186.03</v>
      </c>
      <c r="Q185" s="1"/>
      <c r="R185" s="5">
        <f t="shared" ref="R185:R191" si="68">IF(P$12=0,0,P185/P$12)</f>
        <v>2.6107922525506885E-5</v>
      </c>
      <c r="S185" s="1"/>
      <c r="T185" s="1">
        <f>SUM(OSRRefT22_8x_0)</f>
        <v>4300</v>
      </c>
      <c r="U185" s="1"/>
      <c r="V185" s="5">
        <f t="shared" ref="V185:V191" si="69">IF(T$12=0,0,T185/T$12)</f>
        <v>4.1753450728500616E-4</v>
      </c>
      <c r="W185" s="1"/>
      <c r="X185" s="1">
        <f t="shared" ref="X185:X191" si="70">+P185-T185</f>
        <v>-4113.97</v>
      </c>
      <c r="Y185" s="1"/>
      <c r="Z185" s="5">
        <f t="shared" ref="Z185:Z191" si="71">IF(T185=0,0,X185/T185)</f>
        <v>-0.95673720930232564</v>
      </c>
    </row>
    <row r="186" spans="1:26" s="24" customFormat="1" hidden="1" outlineLevel="2" x14ac:dyDescent="0.25">
      <c r="A186" s="26"/>
      <c r="B186" s="11" t="str">
        <f>CONCATENATE("          ", "6277", " - ", "EMPLOYEE APPRECIATION")</f>
        <v xml:space="preserve">          6277 - EMPLOYEE APPRECIATION</v>
      </c>
      <c r="C186" s="11"/>
      <c r="D186" s="7"/>
      <c r="E186" s="2"/>
      <c r="F186" s="6">
        <f t="shared" si="64"/>
        <v>0</v>
      </c>
      <c r="G186" s="2"/>
      <c r="H186" s="7">
        <v>420</v>
      </c>
      <c r="I186" s="2"/>
      <c r="J186" s="6">
        <f t="shared" si="65"/>
        <v>5.6368197063216938E-4</v>
      </c>
      <c r="K186" s="2"/>
      <c r="L186" s="7">
        <f t="shared" si="66"/>
        <v>-420</v>
      </c>
      <c r="M186" s="2"/>
      <c r="N186" s="6">
        <f t="shared" si="67"/>
        <v>-1</v>
      </c>
      <c r="O186" s="11"/>
      <c r="P186" s="7">
        <v>186.03</v>
      </c>
      <c r="Q186" s="2"/>
      <c r="R186" s="6">
        <f t="shared" si="68"/>
        <v>2.6107922525506885E-5</v>
      </c>
      <c r="S186" s="2"/>
      <c r="T186" s="7">
        <v>4300</v>
      </c>
      <c r="U186" s="2"/>
      <c r="V186" s="6">
        <f t="shared" si="69"/>
        <v>4.1753450728500616E-4</v>
      </c>
      <c r="W186" s="2"/>
      <c r="X186" s="7">
        <f t="shared" si="70"/>
        <v>-4113.97</v>
      </c>
      <c r="Y186" s="2"/>
      <c r="Z186" s="6">
        <f t="shared" si="71"/>
        <v>-0.95673720930232564</v>
      </c>
    </row>
    <row r="187" spans="1:26" s="25" customFormat="1" outlineLevel="1" collapsed="1" x14ac:dyDescent="0.25">
      <c r="A187" s="27"/>
      <c r="B187" s="13" t="str">
        <f>CONCATENATE("     ","Equipment Rental                                  ")</f>
        <v xml:space="preserve">     Equipment Rental                                  </v>
      </c>
      <c r="C187" s="13"/>
      <c r="D187" s="1">
        <f>SUM(OSRRefD22_9x_0)</f>
        <v>1388.16</v>
      </c>
      <c r="E187" s="1"/>
      <c r="F187" s="5">
        <f t="shared" si="64"/>
        <v>1.6492461360496187E-3</v>
      </c>
      <c r="G187" s="1"/>
      <c r="H187" s="1">
        <f>SUM(OSRRefH22_9x_0)</f>
        <v>3006</v>
      </c>
      <c r="I187" s="1"/>
      <c r="J187" s="5">
        <f t="shared" si="65"/>
        <v>4.0343523898102402E-3</v>
      </c>
      <c r="K187" s="1"/>
      <c r="L187" s="1">
        <f t="shared" si="66"/>
        <v>-1617.84</v>
      </c>
      <c r="M187" s="1"/>
      <c r="N187" s="5">
        <f t="shared" si="67"/>
        <v>-0.53820359281437125</v>
      </c>
      <c r="O187" s="13"/>
      <c r="P187" s="1">
        <f>SUM(OSRRefP22_9x_0)</f>
        <v>14834.17</v>
      </c>
      <c r="Q187" s="1"/>
      <c r="R187" s="5">
        <f t="shared" si="68"/>
        <v>2.0818650813857901E-3</v>
      </c>
      <c r="S187" s="1"/>
      <c r="T187" s="1">
        <f>SUM(OSRRefT22_9x_0)</f>
        <v>30060</v>
      </c>
      <c r="U187" s="1"/>
      <c r="V187" s="5">
        <f t="shared" si="69"/>
        <v>2.9188575090668104E-3</v>
      </c>
      <c r="W187" s="1"/>
      <c r="X187" s="1">
        <f t="shared" si="70"/>
        <v>-15225.83</v>
      </c>
      <c r="Y187" s="1"/>
      <c r="Z187" s="5">
        <f t="shared" si="71"/>
        <v>-0.50651463739188285</v>
      </c>
    </row>
    <row r="188" spans="1:26" s="24" customFormat="1" hidden="1" outlineLevel="2" x14ac:dyDescent="0.25">
      <c r="A188" s="26"/>
      <c r="B188" s="11" t="str">
        <f>CONCATENATE("          ", "6351", " - ", "EQUIPMENT RENTAL")</f>
        <v xml:space="preserve">          6351 - EQUIPMENT RENTAL</v>
      </c>
      <c r="C188" s="11"/>
      <c r="D188" s="7">
        <v>1388.16</v>
      </c>
      <c r="E188" s="2"/>
      <c r="F188" s="6">
        <f t="shared" si="64"/>
        <v>1.6492461360496187E-3</v>
      </c>
      <c r="G188" s="2"/>
      <c r="H188" s="7">
        <v>3006</v>
      </c>
      <c r="I188" s="2"/>
      <c r="J188" s="6">
        <f t="shared" si="65"/>
        <v>4.0343523898102402E-3</v>
      </c>
      <c r="K188" s="2"/>
      <c r="L188" s="7">
        <f t="shared" si="66"/>
        <v>-1617.84</v>
      </c>
      <c r="M188" s="2"/>
      <c r="N188" s="6">
        <f t="shared" si="67"/>
        <v>-0.53820359281437125</v>
      </c>
      <c r="O188" s="11"/>
      <c r="P188" s="7">
        <v>14834.17</v>
      </c>
      <c r="Q188" s="2"/>
      <c r="R188" s="6">
        <f t="shared" si="68"/>
        <v>2.0818650813857901E-3</v>
      </c>
      <c r="S188" s="2"/>
      <c r="T188" s="7">
        <v>30060</v>
      </c>
      <c r="U188" s="2"/>
      <c r="V188" s="6">
        <f t="shared" si="69"/>
        <v>2.9188575090668104E-3</v>
      </c>
      <c r="W188" s="2"/>
      <c r="X188" s="7">
        <f t="shared" si="70"/>
        <v>-15225.83</v>
      </c>
      <c r="Y188" s="2"/>
      <c r="Z188" s="6">
        <f t="shared" si="71"/>
        <v>-0.50651463739188285</v>
      </c>
    </row>
    <row r="189" spans="1:26" s="25" customFormat="1" outlineLevel="1" collapsed="1" x14ac:dyDescent="0.25">
      <c r="A189" s="27"/>
      <c r="B189" s="13" t="str">
        <f>CONCATENATE("     ","Freight out/Postage                               ")</f>
        <v xml:space="preserve">     Freight out/Postage                               </v>
      </c>
      <c r="C189" s="13"/>
      <c r="D189" s="1">
        <f>SUM(OSRRefD22_10x_0)</f>
        <v>-12487.910000000003</v>
      </c>
      <c r="E189" s="1"/>
      <c r="F189" s="5">
        <f t="shared" si="64"/>
        <v>-1.4836645138049935E-2</v>
      </c>
      <c r="G189" s="1"/>
      <c r="H189" s="1">
        <f>SUM(OSRRefH22_10x_0)</f>
        <v>2991</v>
      </c>
      <c r="I189" s="1"/>
      <c r="J189" s="5">
        <f t="shared" si="65"/>
        <v>4.014220890859092E-3</v>
      </c>
      <c r="K189" s="1"/>
      <c r="L189" s="1">
        <f t="shared" si="66"/>
        <v>-15478.910000000003</v>
      </c>
      <c r="M189" s="1"/>
      <c r="N189" s="5">
        <f t="shared" si="67"/>
        <v>-5.1751621531260463</v>
      </c>
      <c r="O189" s="13"/>
      <c r="P189" s="1">
        <f>SUM(OSRRefP22_10x_0)</f>
        <v>-45380.26999999999</v>
      </c>
      <c r="Q189" s="1"/>
      <c r="R189" s="5">
        <f t="shared" si="68"/>
        <v>-6.3687823111680062E-3</v>
      </c>
      <c r="S189" s="1"/>
      <c r="T189" s="1">
        <f>SUM(OSRRefT22_10x_0)</f>
        <v>36747</v>
      </c>
      <c r="U189" s="1"/>
      <c r="V189" s="5">
        <f t="shared" si="69"/>
        <v>3.568172218419098E-3</v>
      </c>
      <c r="W189" s="1"/>
      <c r="X189" s="1">
        <f t="shared" si="70"/>
        <v>-82127.26999999999</v>
      </c>
      <c r="Y189" s="1"/>
      <c r="Z189" s="5">
        <f t="shared" si="71"/>
        <v>-2.2349380901842326</v>
      </c>
    </row>
    <row r="190" spans="1:26" s="24" customFormat="1" hidden="1" outlineLevel="2" x14ac:dyDescent="0.25">
      <c r="A190" s="26"/>
      <c r="B190" s="11" t="str">
        <f>CONCATENATE("          ", "6305", " - ", "FREIGHT OUT")</f>
        <v xml:space="preserve">          6305 - FREIGHT OUT</v>
      </c>
      <c r="C190" s="11"/>
      <c r="D190" s="7">
        <v>22694.03</v>
      </c>
      <c r="E190" s="2"/>
      <c r="F190" s="6">
        <f t="shared" si="64"/>
        <v>2.6962339563806854E-2</v>
      </c>
      <c r="G190" s="2"/>
      <c r="H190" s="7">
        <v>5063</v>
      </c>
      <c r="I190" s="2"/>
      <c r="J190" s="6">
        <f t="shared" si="65"/>
        <v>6.7950519459777934E-3</v>
      </c>
      <c r="K190" s="2"/>
      <c r="L190" s="7">
        <f t="shared" si="66"/>
        <v>17631.03</v>
      </c>
      <c r="M190" s="2"/>
      <c r="N190" s="6">
        <f t="shared" si="67"/>
        <v>3.4823286588978863</v>
      </c>
      <c r="O190" s="11"/>
      <c r="P190" s="7">
        <v>203529.51</v>
      </c>
      <c r="Q190" s="2"/>
      <c r="R190" s="6">
        <f t="shared" si="68"/>
        <v>2.8563848189724128E-2</v>
      </c>
      <c r="S190" s="2"/>
      <c r="T190" s="7">
        <v>61089</v>
      </c>
      <c r="U190" s="2"/>
      <c r="V190" s="6">
        <f t="shared" si="69"/>
        <v>5.931805933845056E-3</v>
      </c>
      <c r="W190" s="2"/>
      <c r="X190" s="7">
        <f t="shared" si="70"/>
        <v>142440.51</v>
      </c>
      <c r="Y190" s="2"/>
      <c r="Z190" s="6">
        <f t="shared" si="71"/>
        <v>2.3316883563325641</v>
      </c>
    </row>
    <row r="191" spans="1:26" s="24" customFormat="1" hidden="1" outlineLevel="2" x14ac:dyDescent="0.25">
      <c r="A191" s="26"/>
      <c r="B191" s="11" t="str">
        <f>CONCATENATE("          ", "6307", " - ", "POSTAGE")</f>
        <v xml:space="preserve">          6307 - POSTAGE</v>
      </c>
      <c r="C191" s="11"/>
      <c r="D191" s="7">
        <v>-35181.94</v>
      </c>
      <c r="E191" s="2"/>
      <c r="F191" s="6">
        <f t="shared" si="64"/>
        <v>-4.1798984701856785E-2</v>
      </c>
      <c r="G191" s="2"/>
      <c r="H191" s="7">
        <v>-2072</v>
      </c>
      <c r="I191" s="2"/>
      <c r="J191" s="6">
        <f t="shared" si="65"/>
        <v>-2.7808310551187022E-3</v>
      </c>
      <c r="K191" s="2"/>
      <c r="L191" s="7">
        <f t="shared" si="66"/>
        <v>-33109.94</v>
      </c>
      <c r="M191" s="2"/>
      <c r="N191" s="6">
        <f t="shared" si="67"/>
        <v>15.979700772200774</v>
      </c>
      <c r="O191" s="11"/>
      <c r="P191" s="7">
        <v>-248909.78</v>
      </c>
      <c r="Q191" s="2"/>
      <c r="R191" s="6">
        <f t="shared" si="68"/>
        <v>-3.4932630500892133E-2</v>
      </c>
      <c r="S191" s="2"/>
      <c r="T191" s="7">
        <v>-24342</v>
      </c>
      <c r="U191" s="2"/>
      <c r="V191" s="6">
        <f t="shared" si="69"/>
        <v>-2.363633715425958E-3</v>
      </c>
      <c r="W191" s="2"/>
      <c r="X191" s="7">
        <f t="shared" si="70"/>
        <v>-224567.78</v>
      </c>
      <c r="Y191" s="2"/>
      <c r="Z191" s="6">
        <f t="shared" si="71"/>
        <v>9.225527072549502</v>
      </c>
    </row>
    <row r="192" spans="1:26" s="25" customFormat="1" outlineLevel="1" collapsed="1" x14ac:dyDescent="0.25">
      <c r="A192" s="27"/>
      <c r="B192" s="13" t="str">
        <f>CONCATENATE("     ","General                                           ")</f>
        <v xml:space="preserve">     General                                           </v>
      </c>
      <c r="C192" s="13"/>
      <c r="D192" s="1">
        <f>SUM(OSRRefD22_11x_0)</f>
        <v>93.84</v>
      </c>
      <c r="E192" s="1"/>
      <c r="F192" s="5">
        <f t="shared" ref="F192:F195" si="72">IF(D$12=0,0,D192/D$12)</f>
        <v>1.1148949501995174E-4</v>
      </c>
      <c r="G192" s="1"/>
      <c r="H192" s="1">
        <f>SUM(OSRRefH22_11x_0)</f>
        <v>780</v>
      </c>
      <c r="I192" s="1"/>
      <c r="J192" s="5">
        <f t="shared" ref="J192:J195" si="73">IF(H$12=0,0,H192/H$12)</f>
        <v>1.0468379454597429E-3</v>
      </c>
      <c r="K192" s="1"/>
      <c r="L192" s="1">
        <f t="shared" ref="L192:L195" si="74">+D192-H192</f>
        <v>-686.16</v>
      </c>
      <c r="M192" s="1"/>
      <c r="N192" s="5">
        <f t="shared" ref="N192:N195" si="75">IF(H192=0,0,L192/H192)</f>
        <v>-0.87969230769230766</v>
      </c>
      <c r="O192" s="13"/>
      <c r="P192" s="1">
        <f>SUM(OSRRefP22_11x_0)</f>
        <v>2573.48</v>
      </c>
      <c r="Q192" s="1"/>
      <c r="R192" s="5">
        <f t="shared" ref="R192:R195" si="76">IF(P$12=0,0,P192/P$12)</f>
        <v>3.6116871720121198E-4</v>
      </c>
      <c r="S192" s="1"/>
      <c r="T192" s="1">
        <f>SUM(OSRRefT22_11x_0)</f>
        <v>10300</v>
      </c>
      <c r="U192" s="1"/>
      <c r="V192" s="5">
        <f t="shared" ref="V192:V195" si="77">IF(T$12=0,0,T192/T$12)</f>
        <v>1.0001407965198985E-3</v>
      </c>
      <c r="W192" s="1"/>
      <c r="X192" s="1">
        <f t="shared" ref="X192:X195" si="78">+P192-T192</f>
        <v>-7726.52</v>
      </c>
      <c r="Y192" s="1"/>
      <c r="Z192" s="5">
        <f t="shared" ref="Z192:Z195" si="79">IF(T192=0,0,X192/T192)</f>
        <v>-0.75014757281553401</v>
      </c>
    </row>
    <row r="193" spans="1:26" s="24" customFormat="1" hidden="1" outlineLevel="2" x14ac:dyDescent="0.25">
      <c r="A193" s="26"/>
      <c r="B193" s="11" t="str">
        <f>CONCATENATE("          ", "6269", " - ", "ENTERTAINMENT")</f>
        <v xml:space="preserve">          6269 - ENTERTAINMENT</v>
      </c>
      <c r="C193" s="11"/>
      <c r="D193" s="7"/>
      <c r="E193" s="2"/>
      <c r="F193" s="6">
        <f t="shared" si="72"/>
        <v>0</v>
      </c>
      <c r="G193" s="2"/>
      <c r="H193" s="7"/>
      <c r="I193" s="2"/>
      <c r="J193" s="6">
        <f t="shared" si="73"/>
        <v>0</v>
      </c>
      <c r="K193" s="2"/>
      <c r="L193" s="7">
        <f t="shared" si="74"/>
        <v>0</v>
      </c>
      <c r="M193" s="2"/>
      <c r="N193" s="6">
        <f t="shared" si="75"/>
        <v>0</v>
      </c>
      <c r="O193" s="11"/>
      <c r="P193" s="7"/>
      <c r="Q193" s="2"/>
      <c r="R193" s="6">
        <f t="shared" si="76"/>
        <v>0</v>
      </c>
      <c r="S193" s="2"/>
      <c r="T193" s="7">
        <v>1500</v>
      </c>
      <c r="U193" s="2"/>
      <c r="V193" s="6">
        <f t="shared" si="77"/>
        <v>1.4565157230872307E-4</v>
      </c>
      <c r="W193" s="2"/>
      <c r="X193" s="7">
        <f t="shared" si="78"/>
        <v>-1500</v>
      </c>
      <c r="Y193" s="2"/>
      <c r="Z193" s="6">
        <f t="shared" si="79"/>
        <v>-1</v>
      </c>
    </row>
    <row r="194" spans="1:26" s="24" customFormat="1" hidden="1" outlineLevel="2" x14ac:dyDescent="0.25">
      <c r="A194" s="26"/>
      <c r="B194" s="11" t="str">
        <f>CONCATENATE("          ", "6276", " - ", "PROPERTY TAX")</f>
        <v xml:space="preserve">          6276 - PROPERTY TAX</v>
      </c>
      <c r="C194" s="11"/>
      <c r="D194" s="7"/>
      <c r="E194" s="2"/>
      <c r="F194" s="6">
        <f t="shared" si="72"/>
        <v>0</v>
      </c>
      <c r="G194" s="2"/>
      <c r="H194" s="7"/>
      <c r="I194" s="2"/>
      <c r="J194" s="6">
        <f t="shared" si="73"/>
        <v>0</v>
      </c>
      <c r="K194" s="2"/>
      <c r="L194" s="7">
        <f t="shared" si="74"/>
        <v>0</v>
      </c>
      <c r="M194" s="2"/>
      <c r="N194" s="6">
        <f t="shared" si="75"/>
        <v>0</v>
      </c>
      <c r="O194" s="11"/>
      <c r="P194" s="7"/>
      <c r="Q194" s="2"/>
      <c r="R194" s="6">
        <f t="shared" si="76"/>
        <v>0</v>
      </c>
      <c r="S194" s="2"/>
      <c r="T194" s="7">
        <v>150</v>
      </c>
      <c r="U194" s="2"/>
      <c r="V194" s="6">
        <f t="shared" si="77"/>
        <v>1.4565157230872308E-5</v>
      </c>
      <c r="W194" s="2"/>
      <c r="X194" s="7">
        <f t="shared" si="78"/>
        <v>-150</v>
      </c>
      <c r="Y194" s="2"/>
      <c r="Z194" s="6">
        <f t="shared" si="79"/>
        <v>-1</v>
      </c>
    </row>
    <row r="195" spans="1:26" s="24" customFormat="1" hidden="1" outlineLevel="2" x14ac:dyDescent="0.25">
      <c r="A195" s="26"/>
      <c r="B195" s="11" t="str">
        <f>CONCATENATE("          ", "6279", " - ", "GENERAL EXPENSE")</f>
        <v xml:space="preserve">          6279 - GENERAL EXPENSE</v>
      </c>
      <c r="C195" s="11"/>
      <c r="D195" s="7">
        <v>93.84</v>
      </c>
      <c r="E195" s="2"/>
      <c r="F195" s="6">
        <f t="shared" si="72"/>
        <v>1.1148949501995174E-4</v>
      </c>
      <c r="G195" s="2"/>
      <c r="H195" s="7">
        <v>780</v>
      </c>
      <c r="I195" s="2"/>
      <c r="J195" s="6">
        <f t="shared" si="73"/>
        <v>1.0468379454597429E-3</v>
      </c>
      <c r="K195" s="2"/>
      <c r="L195" s="7">
        <f t="shared" si="74"/>
        <v>-686.16</v>
      </c>
      <c r="M195" s="2"/>
      <c r="N195" s="6">
        <f t="shared" si="75"/>
        <v>-0.87969230769230766</v>
      </c>
      <c r="O195" s="11"/>
      <c r="P195" s="7">
        <v>2573.48</v>
      </c>
      <c r="Q195" s="2"/>
      <c r="R195" s="6">
        <f t="shared" si="76"/>
        <v>3.6116871720121198E-4</v>
      </c>
      <c r="S195" s="2"/>
      <c r="T195" s="7">
        <v>8650</v>
      </c>
      <c r="U195" s="2"/>
      <c r="V195" s="6">
        <f t="shared" si="77"/>
        <v>8.3992406698030306E-4</v>
      </c>
      <c r="W195" s="2"/>
      <c r="X195" s="7">
        <f t="shared" si="78"/>
        <v>-6076.52</v>
      </c>
      <c r="Y195" s="2"/>
      <c r="Z195" s="6">
        <f t="shared" si="79"/>
        <v>-0.70248786127167639</v>
      </c>
    </row>
    <row r="196" spans="1:26" s="25" customFormat="1" outlineLevel="1" collapsed="1" x14ac:dyDescent="0.25">
      <c r="A196" s="27"/>
      <c r="B196" s="13" t="str">
        <f>CONCATENATE("     ","Insurance                                         ")</f>
        <v xml:space="preserve">     Insurance                                         </v>
      </c>
      <c r="C196" s="13"/>
      <c r="D196" s="1">
        <f>SUM(OSRRefD22_12x_0)</f>
        <v>4044.74</v>
      </c>
      <c r="E196" s="1"/>
      <c r="F196" s="5">
        <f t="shared" ref="F196:F200" si="80">IF(D$12=0,0,D196/D$12)</f>
        <v>4.8054776224104815E-3</v>
      </c>
      <c r="G196" s="1"/>
      <c r="H196" s="1">
        <f>SUM(OSRRefH22_12x_0)</f>
        <v>4446</v>
      </c>
      <c r="I196" s="1"/>
      <c r="J196" s="5">
        <f t="shared" ref="J196:J200" si="81">IF(H$12=0,0,H196/H$12)</f>
        <v>5.9669762891205354E-3</v>
      </c>
      <c r="K196" s="1"/>
      <c r="L196" s="1">
        <f t="shared" ref="L196:L200" si="82">+D196-H196</f>
        <v>-401.26000000000022</v>
      </c>
      <c r="M196" s="1"/>
      <c r="N196" s="5">
        <f t="shared" ref="N196:N200" si="83">IF(H196=0,0,L196/H196)</f>
        <v>-9.0251911830859247E-2</v>
      </c>
      <c r="O196" s="13"/>
      <c r="P196" s="1">
        <f>SUM(OSRRefP22_12x_0)</f>
        <v>40447.4</v>
      </c>
      <c r="Q196" s="1"/>
      <c r="R196" s="5">
        <f t="shared" ref="R196:R200" si="84">IF(P$12=0,0,P196/P$12)</f>
        <v>5.6764908109347275E-3</v>
      </c>
      <c r="S196" s="1"/>
      <c r="T196" s="1">
        <f>SUM(OSRRefT22_12x_0)</f>
        <v>44460</v>
      </c>
      <c r="U196" s="1"/>
      <c r="V196" s="5">
        <f t="shared" ref="V196:V200" si="85">IF(T$12=0,0,T196/T$12)</f>
        <v>4.317112603230552E-3</v>
      </c>
      <c r="W196" s="1"/>
      <c r="X196" s="1">
        <f t="shared" ref="X196:X200" si="86">+P196-T196</f>
        <v>-4012.5999999999985</v>
      </c>
      <c r="Y196" s="1"/>
      <c r="Z196" s="5">
        <f t="shared" ref="Z196:Z200" si="87">IF(T196=0,0,X196/T196)</f>
        <v>-9.0251911830859163E-2</v>
      </c>
    </row>
    <row r="197" spans="1:26" s="24" customFormat="1" hidden="1" outlineLevel="2" x14ac:dyDescent="0.25">
      <c r="A197" s="26"/>
      <c r="B197" s="11" t="str">
        <f>CONCATENATE("          ", "6314", " - ", "LIABILITY INSURANCE")</f>
        <v xml:space="preserve">          6314 - LIABILITY INSURANCE</v>
      </c>
      <c r="C197" s="11"/>
      <c r="D197" s="7">
        <v>4044.74</v>
      </c>
      <c r="E197" s="2"/>
      <c r="F197" s="6">
        <f t="shared" si="80"/>
        <v>4.8054776224104815E-3</v>
      </c>
      <c r="G197" s="2"/>
      <c r="H197" s="7">
        <v>4446</v>
      </c>
      <c r="I197" s="2"/>
      <c r="J197" s="6">
        <f t="shared" si="81"/>
        <v>5.9669762891205354E-3</v>
      </c>
      <c r="K197" s="2"/>
      <c r="L197" s="7">
        <f t="shared" si="82"/>
        <v>-401.26000000000022</v>
      </c>
      <c r="M197" s="2"/>
      <c r="N197" s="6">
        <f t="shared" si="83"/>
        <v>-9.0251911830859247E-2</v>
      </c>
      <c r="O197" s="11"/>
      <c r="P197" s="7">
        <v>40447.4</v>
      </c>
      <c r="Q197" s="2"/>
      <c r="R197" s="6">
        <f t="shared" si="84"/>
        <v>5.6764908109347275E-3</v>
      </c>
      <c r="S197" s="2"/>
      <c r="T197" s="7">
        <v>44460</v>
      </c>
      <c r="U197" s="2"/>
      <c r="V197" s="6">
        <f t="shared" si="85"/>
        <v>4.317112603230552E-3</v>
      </c>
      <c r="W197" s="2"/>
      <c r="X197" s="7">
        <f t="shared" si="86"/>
        <v>-4012.5999999999985</v>
      </c>
      <c r="Y197" s="2"/>
      <c r="Z197" s="6">
        <f t="shared" si="87"/>
        <v>-9.0251911830859163E-2</v>
      </c>
    </row>
    <row r="198" spans="1:26" s="25" customFormat="1" outlineLevel="1" collapsed="1" x14ac:dyDescent="0.25">
      <c r="A198" s="27"/>
      <c r="B198" s="13" t="str">
        <f>CONCATENATE("     ","Inventory Adjustment                              ")</f>
        <v xml:space="preserve">     Inventory Adjustment                              </v>
      </c>
      <c r="C198" s="13"/>
      <c r="D198" s="1">
        <f>SUM(OSRRefD22_13x_0)</f>
        <v>3350</v>
      </c>
      <c r="E198" s="1"/>
      <c r="F198" s="5">
        <f t="shared" si="80"/>
        <v>3.9800704211086779E-3</v>
      </c>
      <c r="G198" s="1"/>
      <c r="H198" s="1">
        <f>SUM(OSRRefH22_13x_0)</f>
        <v>4350</v>
      </c>
      <c r="I198" s="1"/>
      <c r="J198" s="5">
        <f t="shared" si="81"/>
        <v>5.8381346958331828E-3</v>
      </c>
      <c r="K198" s="1"/>
      <c r="L198" s="1">
        <f t="shared" si="82"/>
        <v>-1000</v>
      </c>
      <c r="M198" s="1"/>
      <c r="N198" s="5">
        <f t="shared" si="83"/>
        <v>-0.22988505747126436</v>
      </c>
      <c r="O198" s="13"/>
      <c r="P198" s="1">
        <f>SUM(OSRRefP22_13x_0)</f>
        <v>38500</v>
      </c>
      <c r="Q198" s="1"/>
      <c r="R198" s="5">
        <f t="shared" si="84"/>
        <v>5.4031877505349418E-3</v>
      </c>
      <c r="S198" s="1"/>
      <c r="T198" s="1">
        <f>SUM(OSRRefT22_13x_0)</f>
        <v>48500</v>
      </c>
      <c r="U198" s="1"/>
      <c r="V198" s="5">
        <f t="shared" si="85"/>
        <v>4.7094008379820456E-3</v>
      </c>
      <c r="W198" s="1"/>
      <c r="X198" s="1">
        <f t="shared" si="86"/>
        <v>-10000</v>
      </c>
      <c r="Y198" s="1"/>
      <c r="Z198" s="5">
        <f t="shared" si="87"/>
        <v>-0.20618556701030927</v>
      </c>
    </row>
    <row r="199" spans="1:26" s="24" customFormat="1" hidden="1" outlineLevel="2" x14ac:dyDescent="0.25">
      <c r="A199" s="26"/>
      <c r="B199" s="11" t="str">
        <f>CONCATENATE("          ", "6408", " - ", "INVENTORY ADJUSTMENT")</f>
        <v xml:space="preserve">          6408 - INVENTORY ADJUSTMENT</v>
      </c>
      <c r="C199" s="11"/>
      <c r="D199" s="7">
        <v>3350</v>
      </c>
      <c r="E199" s="2"/>
      <c r="F199" s="6">
        <f t="shared" si="80"/>
        <v>3.9800704211086779E-3</v>
      </c>
      <c r="G199" s="2"/>
      <c r="H199" s="7">
        <v>4350</v>
      </c>
      <c r="I199" s="2"/>
      <c r="J199" s="6">
        <f t="shared" si="81"/>
        <v>5.8381346958331828E-3</v>
      </c>
      <c r="K199" s="2"/>
      <c r="L199" s="7">
        <f t="shared" si="82"/>
        <v>-1000</v>
      </c>
      <c r="M199" s="2"/>
      <c r="N199" s="6">
        <f t="shared" si="83"/>
        <v>-0.22988505747126436</v>
      </c>
      <c r="O199" s="11"/>
      <c r="P199" s="7">
        <v>38500</v>
      </c>
      <c r="Q199" s="2"/>
      <c r="R199" s="6">
        <f t="shared" si="84"/>
        <v>5.4031877505349418E-3</v>
      </c>
      <c r="S199" s="2"/>
      <c r="T199" s="7">
        <v>48500</v>
      </c>
      <c r="U199" s="2"/>
      <c r="V199" s="6">
        <f t="shared" si="85"/>
        <v>4.7094008379820456E-3</v>
      </c>
      <c r="W199" s="2"/>
      <c r="X199" s="7">
        <f t="shared" si="86"/>
        <v>-10000</v>
      </c>
      <c r="Y199" s="2"/>
      <c r="Z199" s="6">
        <f t="shared" si="87"/>
        <v>-0.20618556701030927</v>
      </c>
    </row>
    <row r="200" spans="1:26" s="24" customFormat="1" hidden="1" outlineLevel="2" x14ac:dyDescent="0.25">
      <c r="A200" s="26"/>
      <c r="B200" s="11" t="str">
        <f>CONCATENATE("          ", "7741", " - ", "INV. SHRINKAGE-LOGO GIFTS")</f>
        <v xml:space="preserve">          7741 - INV. SHRINKAGE-LOGO GIFTS</v>
      </c>
      <c r="C200" s="11"/>
      <c r="D200" s="7"/>
      <c r="E200" s="2"/>
      <c r="F200" s="6">
        <f t="shared" si="80"/>
        <v>0</v>
      </c>
      <c r="G200" s="2"/>
      <c r="H200" s="7"/>
      <c r="I200" s="2"/>
      <c r="J200" s="6">
        <f t="shared" si="81"/>
        <v>0</v>
      </c>
      <c r="K200" s="2"/>
      <c r="L200" s="7">
        <f t="shared" si="82"/>
        <v>0</v>
      </c>
      <c r="M200" s="2"/>
      <c r="N200" s="6">
        <f t="shared" si="83"/>
        <v>0</v>
      </c>
      <c r="O200" s="11"/>
      <c r="P200" s="7">
        <v>0</v>
      </c>
      <c r="Q200" s="2"/>
      <c r="R200" s="6">
        <f t="shared" si="84"/>
        <v>0</v>
      </c>
      <c r="S200" s="2"/>
      <c r="T200" s="7"/>
      <c r="U200" s="2"/>
      <c r="V200" s="6">
        <f t="shared" si="85"/>
        <v>0</v>
      </c>
      <c r="W200" s="2"/>
      <c r="X200" s="7">
        <f t="shared" si="86"/>
        <v>0</v>
      </c>
      <c r="Y200" s="2"/>
      <c r="Z200" s="6">
        <f t="shared" si="87"/>
        <v>0</v>
      </c>
    </row>
    <row r="201" spans="1:26" s="25" customFormat="1" outlineLevel="1" collapsed="1" x14ac:dyDescent="0.25">
      <c r="A201" s="27"/>
      <c r="B201" s="13" t="str">
        <f>CONCATENATE("     ","Professional Services                             ")</f>
        <v xml:space="preserve">     Professional Services                             </v>
      </c>
      <c r="C201" s="13"/>
      <c r="D201" s="1">
        <f>SUM(OSRRefD22_14x_0)</f>
        <v>0</v>
      </c>
      <c r="E201" s="1"/>
      <c r="F201" s="5">
        <f t="shared" ref="F201:F209" si="88">IF(D$12=0,0,D201/D$12)</f>
        <v>0</v>
      </c>
      <c r="G201" s="1"/>
      <c r="H201" s="1">
        <f>SUM(OSRRefH22_14x_0)</f>
        <v>250</v>
      </c>
      <c r="I201" s="1"/>
      <c r="J201" s="5">
        <f t="shared" ref="J201:J209" si="89">IF(H$12=0,0,H201/H$12)</f>
        <v>3.3552498251914842E-4</v>
      </c>
      <c r="K201" s="1"/>
      <c r="L201" s="1">
        <f t="shared" ref="L201:L209" si="90">+D201-H201</f>
        <v>-250</v>
      </c>
      <c r="M201" s="1"/>
      <c r="N201" s="5">
        <f t="shared" ref="N201:N209" si="91">IF(H201=0,0,L201/H201)</f>
        <v>-1</v>
      </c>
      <c r="O201" s="13"/>
      <c r="P201" s="1">
        <f>SUM(OSRRefP22_14x_0)</f>
        <v>0</v>
      </c>
      <c r="Q201" s="1"/>
      <c r="R201" s="5">
        <f t="shared" ref="R201:R209" si="92">IF(P$12=0,0,P201/P$12)</f>
        <v>0</v>
      </c>
      <c r="S201" s="1"/>
      <c r="T201" s="1">
        <f>SUM(OSRRefT22_14x_0)</f>
        <v>7300</v>
      </c>
      <c r="U201" s="1"/>
      <c r="V201" s="5">
        <f t="shared" ref="V201:V209" si="93">IF(T$12=0,0,T201/T$12)</f>
        <v>7.088376519024523E-4</v>
      </c>
      <c r="W201" s="1"/>
      <c r="X201" s="1">
        <f t="shared" ref="X201:X209" si="94">+P201-T201</f>
        <v>-7300</v>
      </c>
      <c r="Y201" s="1"/>
      <c r="Z201" s="5">
        <f t="shared" ref="Z201:Z209" si="95">IF(T201=0,0,X201/T201)</f>
        <v>-1</v>
      </c>
    </row>
    <row r="202" spans="1:26" s="24" customFormat="1" hidden="1" outlineLevel="2" x14ac:dyDescent="0.25">
      <c r="A202" s="26"/>
      <c r="B202" s="11" t="str">
        <f>CONCATENATE("          ", "6336", " - ", "PROFESSIONAL SERVICES")</f>
        <v xml:space="preserve">          6336 - PROFESSIONAL SERVICES</v>
      </c>
      <c r="C202" s="11"/>
      <c r="D202" s="7"/>
      <c r="E202" s="2"/>
      <c r="F202" s="6">
        <f t="shared" si="88"/>
        <v>0</v>
      </c>
      <c r="G202" s="2"/>
      <c r="H202" s="7">
        <v>250</v>
      </c>
      <c r="I202" s="2"/>
      <c r="J202" s="6">
        <f t="shared" si="89"/>
        <v>3.3552498251914842E-4</v>
      </c>
      <c r="K202" s="2"/>
      <c r="L202" s="7">
        <f t="shared" si="90"/>
        <v>-250</v>
      </c>
      <c r="M202" s="2"/>
      <c r="N202" s="6">
        <f t="shared" si="91"/>
        <v>-1</v>
      </c>
      <c r="O202" s="11"/>
      <c r="P202" s="7"/>
      <c r="Q202" s="2"/>
      <c r="R202" s="6">
        <f t="shared" si="92"/>
        <v>0</v>
      </c>
      <c r="S202" s="2"/>
      <c r="T202" s="7">
        <v>7300</v>
      </c>
      <c r="U202" s="2"/>
      <c r="V202" s="6">
        <f t="shared" si="93"/>
        <v>7.088376519024523E-4</v>
      </c>
      <c r="W202" s="2"/>
      <c r="X202" s="7">
        <f t="shared" si="94"/>
        <v>-7300</v>
      </c>
      <c r="Y202" s="2"/>
      <c r="Z202" s="6">
        <f t="shared" si="95"/>
        <v>-1</v>
      </c>
    </row>
    <row r="203" spans="1:26" s="25" customFormat="1" outlineLevel="1" collapsed="1" x14ac:dyDescent="0.25">
      <c r="A203" s="27"/>
      <c r="B203" s="13" t="str">
        <f>CONCATENATE("     ","Rent                                              ")</f>
        <v xml:space="preserve">     Rent                                              </v>
      </c>
      <c r="C203" s="13"/>
      <c r="D203" s="1">
        <f>SUM(OSRRefD22_15x_0)</f>
        <v>6100</v>
      </c>
      <c r="E203" s="1"/>
      <c r="F203" s="5">
        <f t="shared" si="88"/>
        <v>7.2472924085859505E-3</v>
      </c>
      <c r="G203" s="1"/>
      <c r="H203" s="1">
        <f>SUM(OSRRefH22_15x_0)</f>
        <v>6100</v>
      </c>
      <c r="I203" s="1"/>
      <c r="J203" s="5">
        <f t="shared" si="89"/>
        <v>8.1868095734672214E-3</v>
      </c>
      <c r="K203" s="1"/>
      <c r="L203" s="1">
        <f t="shared" si="90"/>
        <v>0</v>
      </c>
      <c r="M203" s="1"/>
      <c r="N203" s="5">
        <f t="shared" si="91"/>
        <v>0</v>
      </c>
      <c r="O203" s="13"/>
      <c r="P203" s="1">
        <f>SUM(OSRRefP22_15x_0)</f>
        <v>61000</v>
      </c>
      <c r="Q203" s="1"/>
      <c r="R203" s="5">
        <f t="shared" si="92"/>
        <v>8.560894877470946E-3</v>
      </c>
      <c r="S203" s="1"/>
      <c r="T203" s="1">
        <f>SUM(OSRRefT22_15x_0)</f>
        <v>61001</v>
      </c>
      <c r="U203" s="1"/>
      <c r="V203" s="5">
        <f t="shared" si="93"/>
        <v>5.9232610416029442E-3</v>
      </c>
      <c r="W203" s="1"/>
      <c r="X203" s="1">
        <f t="shared" si="94"/>
        <v>-1</v>
      </c>
      <c r="Y203" s="1"/>
      <c r="Z203" s="5">
        <f t="shared" si="95"/>
        <v>-1.639317388239537E-5</v>
      </c>
    </row>
    <row r="204" spans="1:26" s="24" customFormat="1" hidden="1" outlineLevel="2" x14ac:dyDescent="0.25">
      <c r="A204" s="26"/>
      <c r="B204" s="11" t="str">
        <f>CONCATENATE("          ", "6273", " - ", "RENT")</f>
        <v xml:space="preserve">          6273 - RENT</v>
      </c>
      <c r="C204" s="11"/>
      <c r="D204" s="7">
        <v>6100</v>
      </c>
      <c r="E204" s="2"/>
      <c r="F204" s="6">
        <f t="shared" si="88"/>
        <v>7.2472924085859505E-3</v>
      </c>
      <c r="G204" s="2"/>
      <c r="H204" s="7">
        <v>6100</v>
      </c>
      <c r="I204" s="2"/>
      <c r="J204" s="6">
        <f t="shared" si="89"/>
        <v>8.1868095734672214E-3</v>
      </c>
      <c r="K204" s="2"/>
      <c r="L204" s="7">
        <f t="shared" si="90"/>
        <v>0</v>
      </c>
      <c r="M204" s="2"/>
      <c r="N204" s="6">
        <f t="shared" si="91"/>
        <v>0</v>
      </c>
      <c r="O204" s="11"/>
      <c r="P204" s="7">
        <v>61000</v>
      </c>
      <c r="Q204" s="2"/>
      <c r="R204" s="6">
        <f t="shared" si="92"/>
        <v>8.560894877470946E-3</v>
      </c>
      <c r="S204" s="2"/>
      <c r="T204" s="7">
        <v>61001</v>
      </c>
      <c r="U204" s="2"/>
      <c r="V204" s="6">
        <f t="shared" si="93"/>
        <v>5.9232610416029442E-3</v>
      </c>
      <c r="W204" s="2"/>
      <c r="X204" s="7">
        <f t="shared" si="94"/>
        <v>-1</v>
      </c>
      <c r="Y204" s="2"/>
      <c r="Z204" s="6">
        <f t="shared" si="95"/>
        <v>-1.639317388239537E-5</v>
      </c>
    </row>
    <row r="205" spans="1:26" s="25" customFormat="1" outlineLevel="1" collapsed="1" x14ac:dyDescent="0.25">
      <c r="A205" s="27"/>
      <c r="B205" s="13" t="str">
        <f>CONCATENATE("     ","Repair and Maintenance                            ")</f>
        <v xml:space="preserve">     Repair and Maintenance                            </v>
      </c>
      <c r="C205" s="13"/>
      <c r="D205" s="1">
        <f>SUM(OSRRefD22_16x_0)</f>
        <v>2485.83</v>
      </c>
      <c r="E205" s="1"/>
      <c r="F205" s="5">
        <f t="shared" si="88"/>
        <v>2.953366702956592E-3</v>
      </c>
      <c r="G205" s="1"/>
      <c r="H205" s="1">
        <f>SUM(OSRRefH22_16x_0)</f>
        <v>14160</v>
      </c>
      <c r="I205" s="1"/>
      <c r="J205" s="5">
        <f t="shared" si="89"/>
        <v>1.9004135009884567E-2</v>
      </c>
      <c r="K205" s="1"/>
      <c r="L205" s="1">
        <f t="shared" si="90"/>
        <v>-11674.17</v>
      </c>
      <c r="M205" s="1"/>
      <c r="N205" s="5">
        <f t="shared" si="91"/>
        <v>-0.82444703389830509</v>
      </c>
      <c r="O205" s="13"/>
      <c r="P205" s="1">
        <f>SUM(OSRRefP22_16x_0)</f>
        <v>134465.69</v>
      </c>
      <c r="Q205" s="1"/>
      <c r="R205" s="5">
        <f t="shared" si="92"/>
        <v>1.8871256339616331E-2</v>
      </c>
      <c r="S205" s="1"/>
      <c r="T205" s="1">
        <f>SUM(OSRRefT22_16x_0)</f>
        <v>195055</v>
      </c>
      <c r="U205" s="1"/>
      <c r="V205" s="5">
        <f t="shared" si="93"/>
        <v>1.8940044957785319E-2</v>
      </c>
      <c r="W205" s="1"/>
      <c r="X205" s="1">
        <f t="shared" si="94"/>
        <v>-60589.31</v>
      </c>
      <c r="Y205" s="1"/>
      <c r="Z205" s="5">
        <f t="shared" si="95"/>
        <v>-0.31062679756991618</v>
      </c>
    </row>
    <row r="206" spans="1:26" s="24" customFormat="1" hidden="1" outlineLevel="2" x14ac:dyDescent="0.25">
      <c r="A206" s="26"/>
      <c r="B206" s="11" t="str">
        <f>CONCATENATE("          ", "6371", " - ", "COMPUTER SOFTWARE MAINTENANCE")</f>
        <v xml:space="preserve">          6371 - COMPUTER SOFTWARE MAINTENANCE</v>
      </c>
      <c r="C206" s="11"/>
      <c r="D206" s="7"/>
      <c r="E206" s="2"/>
      <c r="F206" s="6">
        <f t="shared" si="88"/>
        <v>0</v>
      </c>
      <c r="G206" s="2"/>
      <c r="H206" s="7"/>
      <c r="I206" s="2"/>
      <c r="J206" s="6">
        <f t="shared" si="89"/>
        <v>0</v>
      </c>
      <c r="K206" s="2"/>
      <c r="L206" s="7">
        <f t="shared" si="90"/>
        <v>0</v>
      </c>
      <c r="M206" s="2"/>
      <c r="N206" s="6">
        <f t="shared" si="91"/>
        <v>0</v>
      </c>
      <c r="O206" s="11"/>
      <c r="P206" s="7">
        <v>61317.72</v>
      </c>
      <c r="Q206" s="2"/>
      <c r="R206" s="6">
        <f t="shared" si="92"/>
        <v>8.6054845089540612E-3</v>
      </c>
      <c r="S206" s="2"/>
      <c r="T206" s="7">
        <v>45000</v>
      </c>
      <c r="U206" s="2"/>
      <c r="V206" s="6">
        <f t="shared" si="93"/>
        <v>4.369547169261692E-3</v>
      </c>
      <c r="W206" s="2"/>
      <c r="X206" s="7">
        <f t="shared" si="94"/>
        <v>16317.720000000001</v>
      </c>
      <c r="Y206" s="2"/>
      <c r="Z206" s="6">
        <f t="shared" si="95"/>
        <v>0.36261600000000005</v>
      </c>
    </row>
    <row r="207" spans="1:26" s="24" customFormat="1" hidden="1" outlineLevel="2" x14ac:dyDescent="0.25">
      <c r="A207" s="26"/>
      <c r="B207" s="11" t="str">
        <f>CONCATENATE("          ", "6372", " - ", "COMPUTER HARDWARE MAINTENANCE")</f>
        <v xml:space="preserve">          6372 - COMPUTER HARDWARE MAINTENANCE</v>
      </c>
      <c r="C207" s="11"/>
      <c r="D207" s="7"/>
      <c r="E207" s="2"/>
      <c r="F207" s="6">
        <f t="shared" si="88"/>
        <v>0</v>
      </c>
      <c r="G207" s="2"/>
      <c r="H207" s="7"/>
      <c r="I207" s="2"/>
      <c r="J207" s="6">
        <f t="shared" si="89"/>
        <v>0</v>
      </c>
      <c r="K207" s="2"/>
      <c r="L207" s="7">
        <f t="shared" si="90"/>
        <v>0</v>
      </c>
      <c r="M207" s="2"/>
      <c r="N207" s="6">
        <f t="shared" si="91"/>
        <v>0</v>
      </c>
      <c r="O207" s="11"/>
      <c r="P207" s="7">
        <v>-1.1499999999999999</v>
      </c>
      <c r="Q207" s="2"/>
      <c r="R207" s="6">
        <f t="shared" si="92"/>
        <v>-1.6139391982117355E-7</v>
      </c>
      <c r="S207" s="2"/>
      <c r="T207" s="7"/>
      <c r="U207" s="2"/>
      <c r="V207" s="6">
        <f t="shared" si="93"/>
        <v>0</v>
      </c>
      <c r="W207" s="2"/>
      <c r="X207" s="7">
        <f t="shared" si="94"/>
        <v>-1.1499999999999999</v>
      </c>
      <c r="Y207" s="2"/>
      <c r="Z207" s="6">
        <f t="shared" si="95"/>
        <v>0</v>
      </c>
    </row>
    <row r="208" spans="1:26" s="24" customFormat="1" hidden="1" outlineLevel="2" x14ac:dyDescent="0.25">
      <c r="A208" s="26"/>
      <c r="B208" s="11" t="str">
        <f>CONCATENATE("          ", "6373", " - ", "MAINTENANCE CONTRACTS")</f>
        <v xml:space="preserve">          6373 - MAINTENANCE CONTRACTS</v>
      </c>
      <c r="C208" s="11"/>
      <c r="D208" s="7">
        <v>1429</v>
      </c>
      <c r="E208" s="2"/>
      <c r="F208" s="6">
        <f t="shared" si="88"/>
        <v>1.6977673527654629E-3</v>
      </c>
      <c r="G208" s="2"/>
      <c r="H208" s="7">
        <v>5740</v>
      </c>
      <c r="I208" s="2"/>
      <c r="J208" s="6">
        <f t="shared" si="89"/>
        <v>7.7036535986396478E-3</v>
      </c>
      <c r="K208" s="2"/>
      <c r="L208" s="7">
        <f t="shared" si="90"/>
        <v>-4311</v>
      </c>
      <c r="M208" s="2"/>
      <c r="N208" s="6">
        <f t="shared" si="91"/>
        <v>-0.75104529616724736</v>
      </c>
      <c r="O208" s="11"/>
      <c r="P208" s="7">
        <v>46118.58</v>
      </c>
      <c r="Q208" s="2"/>
      <c r="R208" s="6">
        <f t="shared" si="92"/>
        <v>6.4723986111185905E-3</v>
      </c>
      <c r="S208" s="2"/>
      <c r="T208" s="7">
        <v>65500</v>
      </c>
      <c r="U208" s="2"/>
      <c r="V208" s="6">
        <f t="shared" si="93"/>
        <v>6.3601186574809079E-3</v>
      </c>
      <c r="W208" s="2"/>
      <c r="X208" s="7">
        <f t="shared" si="94"/>
        <v>-19381.419999999998</v>
      </c>
      <c r="Y208" s="2"/>
      <c r="Z208" s="6">
        <f t="shared" si="95"/>
        <v>-0.29589954198473278</v>
      </c>
    </row>
    <row r="209" spans="1:26" s="24" customFormat="1" hidden="1" outlineLevel="2" x14ac:dyDescent="0.25">
      <c r="A209" s="26"/>
      <c r="B209" s="11" t="str">
        <f>CONCATENATE("          ", "6375", " - ", "OUTSIDE REPAIRS &amp; MAINTENANCE")</f>
        <v xml:space="preserve">          6375 - OUTSIDE REPAIRS &amp; MAINTENANCE</v>
      </c>
      <c r="C209" s="11"/>
      <c r="D209" s="7">
        <v>1056.83</v>
      </c>
      <c r="E209" s="2"/>
      <c r="F209" s="6">
        <f t="shared" si="88"/>
        <v>1.2555993501911294E-3</v>
      </c>
      <c r="G209" s="2"/>
      <c r="H209" s="7">
        <v>8420</v>
      </c>
      <c r="I209" s="2"/>
      <c r="J209" s="6">
        <f t="shared" si="89"/>
        <v>1.1300481411244918E-2</v>
      </c>
      <c r="K209" s="2"/>
      <c r="L209" s="7">
        <f t="shared" si="90"/>
        <v>-7363.17</v>
      </c>
      <c r="M209" s="2"/>
      <c r="N209" s="6">
        <f t="shared" si="91"/>
        <v>-0.87448574821852731</v>
      </c>
      <c r="O209" s="11"/>
      <c r="P209" s="7">
        <v>27030.54</v>
      </c>
      <c r="Q209" s="2"/>
      <c r="R209" s="6">
        <f t="shared" si="92"/>
        <v>3.7935346134635004E-3</v>
      </c>
      <c r="S209" s="2"/>
      <c r="T209" s="7">
        <v>84555</v>
      </c>
      <c r="U209" s="2"/>
      <c r="V209" s="6">
        <f t="shared" si="93"/>
        <v>8.2103791310427204E-3</v>
      </c>
      <c r="W209" s="2"/>
      <c r="X209" s="7">
        <f t="shared" si="94"/>
        <v>-57524.46</v>
      </c>
      <c r="Y209" s="2"/>
      <c r="Z209" s="6">
        <f t="shared" si="95"/>
        <v>-0.68032002838389216</v>
      </c>
    </row>
    <row r="210" spans="1:26" s="25" customFormat="1" outlineLevel="1" collapsed="1" x14ac:dyDescent="0.25">
      <c r="A210" s="27"/>
      <c r="B210" s="13" t="str">
        <f>CONCATENATE("     ","Royalty &amp; Commissions                             ")</f>
        <v xml:space="preserve">     Royalty &amp; Commissions                             </v>
      </c>
      <c r="C210" s="13"/>
      <c r="D210" s="1">
        <f>SUM(OSRRefD22_17x_0)</f>
        <v>11531.75</v>
      </c>
      <c r="E210" s="1"/>
      <c r="F210" s="5">
        <f t="shared" ref="F210:F214" si="96">IF(D$12=0,0,D210/D$12)</f>
        <v>1.3700649874214923E-2</v>
      </c>
      <c r="G210" s="1"/>
      <c r="H210" s="1">
        <f>SUM(OSRRefH22_17x_0)</f>
        <v>14971</v>
      </c>
      <c r="I210" s="1"/>
      <c r="J210" s="5">
        <f t="shared" ref="J210:J214" si="97">IF(H$12=0,0,H210/H$12)</f>
        <v>2.0092578053176685E-2</v>
      </c>
      <c r="K210" s="1"/>
      <c r="L210" s="1">
        <f t="shared" ref="L210:L214" si="98">+D210-H210</f>
        <v>-3439.25</v>
      </c>
      <c r="M210" s="1"/>
      <c r="N210" s="5">
        <f t="shared" ref="N210:N214" si="99">IF(H210=0,0,L210/H210)</f>
        <v>-0.22972747311468839</v>
      </c>
      <c r="O210" s="13"/>
      <c r="P210" s="1">
        <f>SUM(OSRRefP22_17x_0)</f>
        <v>48392.95</v>
      </c>
      <c r="Q210" s="1"/>
      <c r="R210" s="5">
        <f t="shared" ref="R210:R214" si="100">IF(P$12=0,0,P210/P$12)</f>
        <v>6.7915894714870098E-3</v>
      </c>
      <c r="S210" s="1"/>
      <c r="T210" s="1">
        <f>SUM(OSRRefT22_17x_0)</f>
        <v>94960</v>
      </c>
      <c r="U210" s="1"/>
      <c r="V210" s="5">
        <f t="shared" ref="V210:V214" si="101">IF(T$12=0,0,T210/T$12)</f>
        <v>9.220715537624229E-3</v>
      </c>
      <c r="W210" s="1"/>
      <c r="X210" s="1">
        <f t="shared" ref="X210:X214" si="102">+P210-T210</f>
        <v>-46567.05</v>
      </c>
      <c r="Y210" s="1"/>
      <c r="Z210" s="5">
        <f t="shared" ref="Z210:Z214" si="103">IF(T210=0,0,X210/T210)</f>
        <v>-0.49038595197978097</v>
      </c>
    </row>
    <row r="211" spans="1:26" s="24" customFormat="1" hidden="1" outlineLevel="2" x14ac:dyDescent="0.25">
      <c r="A211" s="26"/>
      <c r="B211" s="11" t="str">
        <f>CONCATENATE("          ", "6252", " - ", "ROYALTY DUE CSTV")</f>
        <v xml:space="preserve">          6252 - ROYALTY DUE CSTV</v>
      </c>
      <c r="C211" s="11"/>
      <c r="D211" s="7"/>
      <c r="E211" s="2"/>
      <c r="F211" s="6">
        <f t="shared" si="96"/>
        <v>0</v>
      </c>
      <c r="G211" s="2"/>
      <c r="H211" s="7">
        <v>1085</v>
      </c>
      <c r="I211" s="2"/>
      <c r="J211" s="6">
        <f t="shared" si="97"/>
        <v>1.4561784241331041E-3</v>
      </c>
      <c r="K211" s="2"/>
      <c r="L211" s="7">
        <f t="shared" si="98"/>
        <v>-1085</v>
      </c>
      <c r="M211" s="2"/>
      <c r="N211" s="6">
        <f t="shared" si="99"/>
        <v>-1</v>
      </c>
      <c r="O211" s="11"/>
      <c r="P211" s="7"/>
      <c r="Q211" s="2"/>
      <c r="R211" s="6">
        <f t="shared" si="100"/>
        <v>0</v>
      </c>
      <c r="S211" s="2"/>
      <c r="T211" s="7">
        <v>10850</v>
      </c>
      <c r="U211" s="2"/>
      <c r="V211" s="6">
        <f t="shared" si="101"/>
        <v>1.0535463730330969E-3</v>
      </c>
      <c r="W211" s="2"/>
      <c r="X211" s="7">
        <f t="shared" si="102"/>
        <v>-10850</v>
      </c>
      <c r="Y211" s="2"/>
      <c r="Z211" s="6">
        <f t="shared" si="103"/>
        <v>-1</v>
      </c>
    </row>
    <row r="212" spans="1:26" s="24" customFormat="1" hidden="1" outlineLevel="2" x14ac:dyDescent="0.25">
      <c r="A212" s="26"/>
      <c r="B212" s="11" t="str">
        <f>CONCATENATE("          ", "6253", " - ", "ROYALTY DUE ATHLETICS-LRG")</f>
        <v xml:space="preserve">          6253 - ROYALTY DUE ATHLETICS-LRG</v>
      </c>
      <c r="C212" s="11"/>
      <c r="D212" s="7">
        <v>8961.48</v>
      </c>
      <c r="E212" s="2"/>
      <c r="F212" s="6">
        <f t="shared" si="96"/>
        <v>1.0646961635031937E-2</v>
      </c>
      <c r="G212" s="2"/>
      <c r="H212" s="7">
        <v>4037</v>
      </c>
      <c r="I212" s="2"/>
      <c r="J212" s="6">
        <f t="shared" si="97"/>
        <v>5.4180574177192086E-3</v>
      </c>
      <c r="K212" s="2"/>
      <c r="L212" s="7">
        <f t="shared" si="98"/>
        <v>4924.4799999999996</v>
      </c>
      <c r="M212" s="2"/>
      <c r="N212" s="6">
        <f t="shared" si="99"/>
        <v>1.2198365122615802</v>
      </c>
      <c r="O212" s="11"/>
      <c r="P212" s="7">
        <v>35159.06</v>
      </c>
      <c r="Q212" s="2"/>
      <c r="R212" s="6">
        <f t="shared" si="100"/>
        <v>4.9343117483720269E-3</v>
      </c>
      <c r="S212" s="2"/>
      <c r="T212" s="7">
        <v>40370</v>
      </c>
      <c r="U212" s="2"/>
      <c r="V212" s="6">
        <f t="shared" si="101"/>
        <v>3.9199693160687672E-3</v>
      </c>
      <c r="W212" s="2"/>
      <c r="X212" s="7">
        <f t="shared" si="102"/>
        <v>-5210.9400000000023</v>
      </c>
      <c r="Y212" s="2"/>
      <c r="Z212" s="6">
        <f t="shared" si="103"/>
        <v>-0.1290795144909587</v>
      </c>
    </row>
    <row r="213" spans="1:26" s="24" customFormat="1" hidden="1" outlineLevel="2" x14ac:dyDescent="0.25">
      <c r="A213" s="26"/>
      <c r="B213" s="11" t="str">
        <f>CONCATENATE("          ", "6254", " - ", "ROYALTY &amp; COMMISSIONS")</f>
        <v xml:space="preserve">          6254 - ROYALTY &amp; COMMISSIONS</v>
      </c>
      <c r="C213" s="11"/>
      <c r="D213" s="7"/>
      <c r="E213" s="2"/>
      <c r="F213" s="6">
        <f t="shared" si="96"/>
        <v>0</v>
      </c>
      <c r="G213" s="2"/>
      <c r="H213" s="7">
        <v>1149</v>
      </c>
      <c r="I213" s="2"/>
      <c r="J213" s="6">
        <f t="shared" si="97"/>
        <v>1.5420728196580062E-3</v>
      </c>
      <c r="K213" s="2"/>
      <c r="L213" s="7">
        <f t="shared" si="98"/>
        <v>-1149</v>
      </c>
      <c r="M213" s="2"/>
      <c r="N213" s="6">
        <f t="shared" si="99"/>
        <v>-1</v>
      </c>
      <c r="O213" s="11"/>
      <c r="P213" s="7"/>
      <c r="Q213" s="2"/>
      <c r="R213" s="6">
        <f t="shared" si="100"/>
        <v>0</v>
      </c>
      <c r="S213" s="2"/>
      <c r="T213" s="7">
        <v>11490</v>
      </c>
      <c r="U213" s="2"/>
      <c r="V213" s="6">
        <f t="shared" si="101"/>
        <v>1.1156910438848188E-3</v>
      </c>
      <c r="W213" s="2"/>
      <c r="X213" s="7">
        <f t="shared" si="102"/>
        <v>-11490</v>
      </c>
      <c r="Y213" s="2"/>
      <c r="Z213" s="6">
        <f t="shared" si="103"/>
        <v>-1</v>
      </c>
    </row>
    <row r="214" spans="1:26" s="24" customFormat="1" hidden="1" outlineLevel="2" x14ac:dyDescent="0.25">
      <c r="A214" s="26"/>
      <c r="B214" s="11" t="str">
        <f>CONCATENATE("          ", "6259", " - ", "ROYALTY &amp; COMMISSIONS")</f>
        <v xml:space="preserve">          6259 - ROYALTY &amp; COMMISSIONS</v>
      </c>
      <c r="C214" s="11"/>
      <c r="D214" s="7">
        <v>2570.27</v>
      </c>
      <c r="E214" s="2"/>
      <c r="F214" s="6">
        <f t="shared" si="96"/>
        <v>3.0536882391829852E-3</v>
      </c>
      <c r="G214" s="2"/>
      <c r="H214" s="7">
        <v>8700</v>
      </c>
      <c r="I214" s="2"/>
      <c r="J214" s="6">
        <f t="shared" si="97"/>
        <v>1.1676269391666366E-2</v>
      </c>
      <c r="K214" s="2"/>
      <c r="L214" s="7">
        <f t="shared" si="98"/>
        <v>-6129.73</v>
      </c>
      <c r="M214" s="2"/>
      <c r="N214" s="6">
        <f t="shared" si="99"/>
        <v>-0.70456666666666656</v>
      </c>
      <c r="O214" s="11"/>
      <c r="P214" s="7">
        <v>13233.89</v>
      </c>
      <c r="Q214" s="2"/>
      <c r="R214" s="6">
        <f t="shared" si="100"/>
        <v>1.8572777231149831E-3</v>
      </c>
      <c r="S214" s="2"/>
      <c r="T214" s="7">
        <v>32250</v>
      </c>
      <c r="U214" s="2"/>
      <c r="V214" s="6">
        <f t="shared" si="101"/>
        <v>3.1315088046375461E-3</v>
      </c>
      <c r="W214" s="2"/>
      <c r="X214" s="7">
        <f t="shared" si="102"/>
        <v>-19016.11</v>
      </c>
      <c r="Y214" s="2"/>
      <c r="Z214" s="6">
        <f t="shared" si="103"/>
        <v>-0.58964682170542637</v>
      </c>
    </row>
    <row r="215" spans="1:26" s="25" customFormat="1" outlineLevel="1" collapsed="1" x14ac:dyDescent="0.25">
      <c r="A215" s="27"/>
      <c r="B215" s="13" t="str">
        <f>CONCATENATE("     ","Services                                          ")</f>
        <v xml:space="preserve">     Services                                          </v>
      </c>
      <c r="C215" s="13"/>
      <c r="D215" s="1">
        <f>SUM(OSRRefD22_18x_0)</f>
        <v>4006.32</v>
      </c>
      <c r="E215" s="1"/>
      <c r="F215" s="5">
        <f t="shared" ref="F215:F219" si="104">IF(D$12=0,0,D215/D$12)</f>
        <v>4.7598315610436169E-3</v>
      </c>
      <c r="G215" s="1"/>
      <c r="H215" s="1">
        <f>SUM(OSRRefH22_18x_0)</f>
        <v>4829</v>
      </c>
      <c r="I215" s="1"/>
      <c r="J215" s="5">
        <f t="shared" ref="J215:J219" si="105">IF(H$12=0,0,H215/H$12)</f>
        <v>6.4810005623398706E-3</v>
      </c>
      <c r="K215" s="1"/>
      <c r="L215" s="1">
        <f t="shared" ref="L215:L219" si="106">+D215-H215</f>
        <v>-822.67999999999984</v>
      </c>
      <c r="M215" s="1"/>
      <c r="N215" s="5">
        <f t="shared" ref="N215:N219" si="107">IF(H215=0,0,L215/H215)</f>
        <v>-0.1703623938703665</v>
      </c>
      <c r="O215" s="13"/>
      <c r="P215" s="1">
        <f>SUM(OSRRefP22_18x_0)</f>
        <v>40143.980000000003</v>
      </c>
      <c r="Q215" s="1"/>
      <c r="R215" s="5">
        <f t="shared" ref="R215:R219" si="108">IF(P$12=0,0,P215/P$12)</f>
        <v>5.6339080777589529E-3</v>
      </c>
      <c r="S215" s="1"/>
      <c r="T215" s="1">
        <f>SUM(OSRRefT22_18x_0)</f>
        <v>47606</v>
      </c>
      <c r="U215" s="1"/>
      <c r="V215" s="5">
        <f t="shared" ref="V215:V219" si="109">IF(T$12=0,0,T215/T$12)</f>
        <v>4.6225925008860471E-3</v>
      </c>
      <c r="W215" s="1"/>
      <c r="X215" s="1">
        <f t="shared" ref="X215:X219" si="110">+P215-T215</f>
        <v>-7462.0199999999968</v>
      </c>
      <c r="Y215" s="1"/>
      <c r="Z215" s="5">
        <f t="shared" ref="Z215:Z219" si="111">IF(T215=0,0,X215/T215)</f>
        <v>-0.15674536823089519</v>
      </c>
    </row>
    <row r="216" spans="1:26" s="24" customFormat="1" hidden="1" outlineLevel="2" x14ac:dyDescent="0.25">
      <c r="A216" s="26"/>
      <c r="B216" s="11" t="str">
        <f>CONCATENATE("          ", "6282", " - ", "JANITORIAL/EXTERMINATOR EXPENS")</f>
        <v xml:space="preserve">          6282 - JANITORIAL/EXTERMINATOR EXPENS</v>
      </c>
      <c r="C216" s="11"/>
      <c r="D216" s="7"/>
      <c r="E216" s="2"/>
      <c r="F216" s="6">
        <f t="shared" si="104"/>
        <v>0</v>
      </c>
      <c r="G216" s="2"/>
      <c r="H216" s="7">
        <v>4000</v>
      </c>
      <c r="I216" s="2"/>
      <c r="J216" s="6">
        <f t="shared" si="105"/>
        <v>5.3683997203063747E-3</v>
      </c>
      <c r="K216" s="2"/>
      <c r="L216" s="7">
        <f t="shared" si="106"/>
        <v>-4000</v>
      </c>
      <c r="M216" s="2"/>
      <c r="N216" s="6">
        <f t="shared" si="107"/>
        <v>-1</v>
      </c>
      <c r="O216" s="11"/>
      <c r="P216" s="7">
        <v>7406.12</v>
      </c>
      <c r="Q216" s="2"/>
      <c r="R216" s="6">
        <f t="shared" si="108"/>
        <v>1.0393936847530349E-3</v>
      </c>
      <c r="S216" s="2"/>
      <c r="T216" s="7">
        <v>40000</v>
      </c>
      <c r="U216" s="2"/>
      <c r="V216" s="6">
        <f t="shared" si="109"/>
        <v>3.8840419282326153E-3</v>
      </c>
      <c r="W216" s="2"/>
      <c r="X216" s="7">
        <f t="shared" si="110"/>
        <v>-32593.88</v>
      </c>
      <c r="Y216" s="2"/>
      <c r="Z216" s="6">
        <f t="shared" si="111"/>
        <v>-0.81484699999999999</v>
      </c>
    </row>
    <row r="217" spans="1:26" s="24" customFormat="1" hidden="1" outlineLevel="2" x14ac:dyDescent="0.25">
      <c r="A217" s="26"/>
      <c r="B217" s="11" t="str">
        <f>CONCATENATE("          ", "6283", " - ", "PLANT SERVICE")</f>
        <v xml:space="preserve">          6283 - PLANT SERVICE</v>
      </c>
      <c r="C217" s="11"/>
      <c r="D217" s="7"/>
      <c r="E217" s="2"/>
      <c r="F217" s="6">
        <f t="shared" si="104"/>
        <v>0</v>
      </c>
      <c r="G217" s="2"/>
      <c r="H217" s="7">
        <v>0</v>
      </c>
      <c r="I217" s="2"/>
      <c r="J217" s="6">
        <f t="shared" si="105"/>
        <v>0</v>
      </c>
      <c r="K217" s="2"/>
      <c r="L217" s="7">
        <f t="shared" si="106"/>
        <v>0</v>
      </c>
      <c r="M217" s="2"/>
      <c r="N217" s="6">
        <f t="shared" si="107"/>
        <v>0</v>
      </c>
      <c r="O217" s="11"/>
      <c r="P217" s="7">
        <v>171.31</v>
      </c>
      <c r="Q217" s="2"/>
      <c r="R217" s="6">
        <f t="shared" si="108"/>
        <v>2.4042080351795866E-5</v>
      </c>
      <c r="S217" s="2"/>
      <c r="T217" s="7">
        <v>0</v>
      </c>
      <c r="U217" s="2"/>
      <c r="V217" s="6">
        <f t="shared" si="109"/>
        <v>0</v>
      </c>
      <c r="W217" s="2"/>
      <c r="X217" s="7">
        <f t="shared" si="110"/>
        <v>171.31</v>
      </c>
      <c r="Y217" s="2"/>
      <c r="Z217" s="6">
        <f t="shared" si="111"/>
        <v>0</v>
      </c>
    </row>
    <row r="218" spans="1:26" s="24" customFormat="1" hidden="1" outlineLevel="2" x14ac:dyDescent="0.25">
      <c r="A218" s="26"/>
      <c r="B218" s="11" t="str">
        <f>CONCATENATE("          ", "6284", " - ", "TRASH REMOVAL EXPENSE")</f>
        <v xml:space="preserve">          6284 - TRASH REMOVAL EXPENSE</v>
      </c>
      <c r="C218" s="11"/>
      <c r="D218" s="7">
        <v>142.57</v>
      </c>
      <c r="E218" s="2"/>
      <c r="F218" s="6">
        <f t="shared" si="104"/>
        <v>1.69384668638049E-4</v>
      </c>
      <c r="G218" s="2"/>
      <c r="H218" s="7">
        <v>55</v>
      </c>
      <c r="I218" s="2"/>
      <c r="J218" s="6">
        <f t="shared" si="105"/>
        <v>7.3815496154212655E-5</v>
      </c>
      <c r="K218" s="2"/>
      <c r="L218" s="7">
        <f t="shared" si="106"/>
        <v>87.57</v>
      </c>
      <c r="M218" s="2"/>
      <c r="N218" s="6">
        <f t="shared" si="107"/>
        <v>1.5921818181818181</v>
      </c>
      <c r="O218" s="11"/>
      <c r="P218" s="7">
        <v>1440.72</v>
      </c>
      <c r="Q218" s="2"/>
      <c r="R218" s="6">
        <f t="shared" si="108"/>
        <v>2.0219430275196626E-4</v>
      </c>
      <c r="S218" s="2"/>
      <c r="T218" s="7">
        <v>715</v>
      </c>
      <c r="U218" s="2"/>
      <c r="V218" s="6">
        <f t="shared" si="109"/>
        <v>6.9427249467158002E-5</v>
      </c>
      <c r="W218" s="2"/>
      <c r="X218" s="7">
        <f t="shared" si="110"/>
        <v>725.72</v>
      </c>
      <c r="Y218" s="2"/>
      <c r="Z218" s="6">
        <f t="shared" si="111"/>
        <v>1.0149930069930071</v>
      </c>
    </row>
    <row r="219" spans="1:26" s="24" customFormat="1" hidden="1" outlineLevel="2" x14ac:dyDescent="0.25">
      <c r="A219" s="26"/>
      <c r="B219" s="11" t="str">
        <f>CONCATENATE("          ", "6285", " - ", "JANITORIAL SERVICES")</f>
        <v xml:space="preserve">          6285 - JANITORIAL SERVICES</v>
      </c>
      <c r="C219" s="11"/>
      <c r="D219" s="7">
        <v>3863.75</v>
      </c>
      <c r="E219" s="2"/>
      <c r="F219" s="6">
        <f t="shared" si="104"/>
        <v>4.5904468924055685E-3</v>
      </c>
      <c r="G219" s="2"/>
      <c r="H219" s="7">
        <v>774</v>
      </c>
      <c r="I219" s="2"/>
      <c r="J219" s="6">
        <f t="shared" si="105"/>
        <v>1.0387853458792835E-3</v>
      </c>
      <c r="K219" s="2"/>
      <c r="L219" s="7">
        <f t="shared" si="106"/>
        <v>3089.75</v>
      </c>
      <c r="M219" s="2"/>
      <c r="N219" s="6">
        <f t="shared" si="107"/>
        <v>3.9919250645994833</v>
      </c>
      <c r="O219" s="11"/>
      <c r="P219" s="7">
        <v>31125.83</v>
      </c>
      <c r="Q219" s="2"/>
      <c r="R219" s="6">
        <f t="shared" si="108"/>
        <v>4.3682780099021561E-3</v>
      </c>
      <c r="S219" s="2"/>
      <c r="T219" s="7">
        <v>6891</v>
      </c>
      <c r="U219" s="2"/>
      <c r="V219" s="6">
        <f t="shared" si="109"/>
        <v>6.6912332318627384E-4</v>
      </c>
      <c r="W219" s="2"/>
      <c r="X219" s="7">
        <f t="shared" si="110"/>
        <v>24234.83</v>
      </c>
      <c r="Y219" s="2"/>
      <c r="Z219" s="6">
        <f t="shared" si="111"/>
        <v>3.516881439558845</v>
      </c>
    </row>
    <row r="220" spans="1:26" s="25" customFormat="1" outlineLevel="1" collapsed="1" x14ac:dyDescent="0.25">
      <c r="A220" s="27"/>
      <c r="B220" s="13" t="str">
        <f>CONCATENATE("     ","Subscriptions &amp; Dues                              ")</f>
        <v xml:space="preserve">     Subscriptions &amp; Dues                              </v>
      </c>
      <c r="C220" s="13"/>
      <c r="D220" s="1">
        <f>SUM(OSRRefD22_19x_0)</f>
        <v>2485.8000000000002</v>
      </c>
      <c r="E220" s="1"/>
      <c r="F220" s="5">
        <f t="shared" ref="F220:F222" si="112">IF(D$12=0,0,D220/D$12)</f>
        <v>2.9533310605349109E-3</v>
      </c>
      <c r="G220" s="1"/>
      <c r="H220" s="1">
        <f>SUM(OSRRefH22_19x_0)</f>
        <v>2900</v>
      </c>
      <c r="I220" s="1"/>
      <c r="J220" s="5">
        <f t="shared" ref="J220:J222" si="113">IF(H$12=0,0,H220/H$12)</f>
        <v>3.8920897972221217E-3</v>
      </c>
      <c r="K220" s="1"/>
      <c r="L220" s="1">
        <f t="shared" ref="L220:L222" si="114">+D220-H220</f>
        <v>-414.19999999999982</v>
      </c>
      <c r="M220" s="1"/>
      <c r="N220" s="5">
        <f t="shared" ref="N220:N222" si="115">IF(H220=0,0,L220/H220)</f>
        <v>-0.14282758620689648</v>
      </c>
      <c r="O220" s="13"/>
      <c r="P220" s="1">
        <f>SUM(OSRRefP22_19x_0)</f>
        <v>6820.1299999999992</v>
      </c>
      <c r="Q220" s="1"/>
      <c r="R220" s="5">
        <f t="shared" ref="R220:R222" si="116">IF(P$12=0,0,P220/P$12)</f>
        <v>9.5715436033911336E-4</v>
      </c>
      <c r="S220" s="1"/>
      <c r="T220" s="1">
        <f>SUM(OSRRefT22_19x_0)</f>
        <v>14195</v>
      </c>
      <c r="U220" s="1"/>
      <c r="V220" s="5">
        <f t="shared" ref="V220:V222" si="117">IF(T$12=0,0,T220/T$12)</f>
        <v>1.3783493792815494E-3</v>
      </c>
      <c r="W220" s="1"/>
      <c r="X220" s="1">
        <f t="shared" ref="X220:X222" si="118">+P220-T220</f>
        <v>-7374.8700000000008</v>
      </c>
      <c r="Y220" s="1"/>
      <c r="Z220" s="5">
        <f t="shared" ref="Z220:Z222" si="119">IF(T220=0,0,X220/T220)</f>
        <v>-0.51953997886579784</v>
      </c>
    </row>
    <row r="221" spans="1:26" s="24" customFormat="1" hidden="1" outlineLevel="2" x14ac:dyDescent="0.25">
      <c r="A221" s="26"/>
      <c r="B221" s="11" t="str">
        <f>CONCATENATE("          ", "6258", " - ", "MEMBERSHIP DUES")</f>
        <v xml:space="preserve">          6258 - MEMBERSHIP DUES</v>
      </c>
      <c r="C221" s="11"/>
      <c r="D221" s="7">
        <v>328.71</v>
      </c>
      <c r="E221" s="2"/>
      <c r="F221" s="6">
        <f t="shared" si="112"/>
        <v>3.9053401436496516E-4</v>
      </c>
      <c r="G221" s="2"/>
      <c r="H221" s="7">
        <v>1100</v>
      </c>
      <c r="I221" s="2"/>
      <c r="J221" s="6">
        <f t="shared" si="113"/>
        <v>1.476309923084253E-3</v>
      </c>
      <c r="K221" s="2"/>
      <c r="L221" s="7">
        <f t="shared" si="114"/>
        <v>-771.29</v>
      </c>
      <c r="M221" s="2"/>
      <c r="N221" s="6">
        <f t="shared" si="115"/>
        <v>-0.70117272727272728</v>
      </c>
      <c r="O221" s="11"/>
      <c r="P221" s="7">
        <v>2435.23</v>
      </c>
      <c r="Q221" s="2"/>
      <c r="R221" s="6">
        <f t="shared" si="116"/>
        <v>3.4176636118792741E-4</v>
      </c>
      <c r="S221" s="2"/>
      <c r="T221" s="7">
        <v>12395</v>
      </c>
      <c r="U221" s="2"/>
      <c r="V221" s="6">
        <f t="shared" si="117"/>
        <v>1.2035674925110816E-3</v>
      </c>
      <c r="W221" s="2"/>
      <c r="X221" s="7">
        <f t="shared" si="118"/>
        <v>-9959.77</v>
      </c>
      <c r="Y221" s="2"/>
      <c r="Z221" s="6">
        <f t="shared" si="119"/>
        <v>-0.80353126260588947</v>
      </c>
    </row>
    <row r="222" spans="1:26" s="24" customFormat="1" hidden="1" outlineLevel="2" x14ac:dyDescent="0.25">
      <c r="A222" s="26"/>
      <c r="B222" s="11" t="str">
        <f>CONCATENATE("          ", "6275", " - ", "SUBSCRIPTIONS")</f>
        <v xml:space="preserve">          6275 - SUBSCRIPTIONS</v>
      </c>
      <c r="C222" s="11"/>
      <c r="D222" s="7">
        <v>2157.09</v>
      </c>
      <c r="E222" s="2"/>
      <c r="F222" s="6">
        <f t="shared" si="112"/>
        <v>2.5627970461699458E-3</v>
      </c>
      <c r="G222" s="2"/>
      <c r="H222" s="7">
        <v>1800</v>
      </c>
      <c r="I222" s="2"/>
      <c r="J222" s="6">
        <f t="shared" si="113"/>
        <v>2.4157798741378687E-3</v>
      </c>
      <c r="K222" s="2"/>
      <c r="L222" s="7">
        <f t="shared" si="114"/>
        <v>357.09000000000015</v>
      </c>
      <c r="M222" s="2"/>
      <c r="N222" s="6">
        <f t="shared" si="115"/>
        <v>0.19838333333333341</v>
      </c>
      <c r="O222" s="11"/>
      <c r="P222" s="7">
        <v>4384.8999999999996</v>
      </c>
      <c r="Q222" s="2"/>
      <c r="R222" s="6">
        <f t="shared" si="116"/>
        <v>6.1538799915118606E-4</v>
      </c>
      <c r="S222" s="2"/>
      <c r="T222" s="7">
        <v>1800</v>
      </c>
      <c r="U222" s="2"/>
      <c r="V222" s="6">
        <f t="shared" si="117"/>
        <v>1.7478188677046768E-4</v>
      </c>
      <c r="W222" s="2"/>
      <c r="X222" s="7">
        <f t="shared" si="118"/>
        <v>2584.8999999999996</v>
      </c>
      <c r="Y222" s="2"/>
      <c r="Z222" s="6">
        <f t="shared" si="119"/>
        <v>1.4360555555555554</v>
      </c>
    </row>
    <row r="223" spans="1:26" s="25" customFormat="1" outlineLevel="1" collapsed="1" x14ac:dyDescent="0.25">
      <c r="A223" s="27"/>
      <c r="B223" s="13" t="str">
        <f>CONCATENATE("     ","Supplies                                          ")</f>
        <v xml:space="preserve">     Supplies                                          </v>
      </c>
      <c r="C223" s="13"/>
      <c r="D223" s="1">
        <f>SUM(OSRRefD22_20x_0)</f>
        <v>8711.98</v>
      </c>
      <c r="E223" s="1"/>
      <c r="F223" s="5">
        <f t="shared" ref="F223:F232" si="120">IF(D$12=0,0,D223/D$12)</f>
        <v>1.0350535494713545E-2</v>
      </c>
      <c r="G223" s="1"/>
      <c r="H223" s="1">
        <f>SUM(OSRRefH22_20x_0)</f>
        <v>10855</v>
      </c>
      <c r="I223" s="1"/>
      <c r="J223" s="5">
        <f t="shared" ref="J223:J232" si="121">IF(H$12=0,0,H223/H$12)</f>
        <v>1.4568494740981423E-2</v>
      </c>
      <c r="K223" s="1"/>
      <c r="L223" s="1">
        <f t="shared" ref="L223:L232" si="122">+D223-H223</f>
        <v>-2143.0200000000004</v>
      </c>
      <c r="M223" s="1"/>
      <c r="N223" s="5">
        <f t="shared" ref="N223:N232" si="123">IF(H223=0,0,L223/H223)</f>
        <v>-0.19742238599723633</v>
      </c>
      <c r="O223" s="13"/>
      <c r="P223" s="1">
        <f>SUM(OSRRefP22_20x_0)</f>
        <v>115528.34</v>
      </c>
      <c r="Q223" s="1"/>
      <c r="R223" s="5">
        <f t="shared" ref="R223:R232" si="124">IF(P$12=0,0,P223/P$12)</f>
        <v>1.6213540559159374E-2</v>
      </c>
      <c r="S223" s="1"/>
      <c r="T223" s="1">
        <f>SUM(OSRRefT22_20x_0)</f>
        <v>147630</v>
      </c>
      <c r="U223" s="1"/>
      <c r="V223" s="5">
        <f t="shared" ref="V223:V232" si="125">IF(T$12=0,0,T223/T$12)</f>
        <v>1.4335027746624525E-2</v>
      </c>
      <c r="W223" s="1"/>
      <c r="X223" s="1">
        <f t="shared" ref="X223:X232" si="126">+P223-T223</f>
        <v>-32101.660000000003</v>
      </c>
      <c r="Y223" s="1"/>
      <c r="Z223" s="5">
        <f t="shared" ref="Z223:Z232" si="127">IF(T223=0,0,X223/T223)</f>
        <v>-0.21744672492040915</v>
      </c>
    </row>
    <row r="224" spans="1:26" s="24" customFormat="1" hidden="1" outlineLevel="2" x14ac:dyDescent="0.25">
      <c r="A224" s="26"/>
      <c r="B224" s="11" t="str">
        <f>CONCATENATE("          ", "6234", " - ", "EXPENDABLE SUPPLIES &amp; EQUIPMEN")</f>
        <v xml:space="preserve">          6234 - EXPENDABLE SUPPLIES &amp; EQUIPMEN</v>
      </c>
      <c r="C224" s="11"/>
      <c r="D224" s="7">
        <v>53</v>
      </c>
      <c r="E224" s="2"/>
      <c r="F224" s="6">
        <f t="shared" si="120"/>
        <v>6.2968278304107432E-5</v>
      </c>
      <c r="G224" s="2"/>
      <c r="H224" s="7">
        <v>150</v>
      </c>
      <c r="I224" s="2"/>
      <c r="J224" s="6">
        <f t="shared" si="121"/>
        <v>2.0131498951148904E-4</v>
      </c>
      <c r="K224" s="2"/>
      <c r="L224" s="7">
        <f t="shared" si="122"/>
        <v>-97</v>
      </c>
      <c r="M224" s="2"/>
      <c r="N224" s="6">
        <f t="shared" si="123"/>
        <v>-0.64666666666666661</v>
      </c>
      <c r="O224" s="11"/>
      <c r="P224" s="7">
        <v>1733.65</v>
      </c>
      <c r="Q224" s="2"/>
      <c r="R224" s="6">
        <f t="shared" si="124"/>
        <v>2.4330484269389355E-4</v>
      </c>
      <c r="S224" s="2"/>
      <c r="T224" s="7">
        <v>1500</v>
      </c>
      <c r="U224" s="2"/>
      <c r="V224" s="6">
        <f t="shared" si="125"/>
        <v>1.4565157230872307E-4</v>
      </c>
      <c r="W224" s="2"/>
      <c r="X224" s="7">
        <f t="shared" si="126"/>
        <v>233.65000000000009</v>
      </c>
      <c r="Y224" s="2"/>
      <c r="Z224" s="6">
        <f t="shared" si="127"/>
        <v>0.15576666666666672</v>
      </c>
    </row>
    <row r="225" spans="1:26" s="24" customFormat="1" hidden="1" outlineLevel="2" x14ac:dyDescent="0.25">
      <c r="A225" s="26"/>
      <c r="B225" s="11" t="str">
        <f>CONCATENATE("          ", "6235", " - ", "COVID-19 EXPENSES")</f>
        <v xml:space="preserve">          6235 - COVID-19 EXPENSES</v>
      </c>
      <c r="C225" s="11"/>
      <c r="D225" s="7">
        <v>3407.79</v>
      </c>
      <c r="E225" s="2"/>
      <c r="F225" s="6">
        <f t="shared" si="120"/>
        <v>4.0487296060746089E-3</v>
      </c>
      <c r="G225" s="2"/>
      <c r="H225" s="7">
        <v>500</v>
      </c>
      <c r="I225" s="2"/>
      <c r="J225" s="6">
        <f t="shared" si="121"/>
        <v>6.7104996503829684E-4</v>
      </c>
      <c r="K225" s="2"/>
      <c r="L225" s="7">
        <f t="shared" si="122"/>
        <v>2907.79</v>
      </c>
      <c r="M225" s="2"/>
      <c r="N225" s="6">
        <f t="shared" si="123"/>
        <v>5.8155799999999997</v>
      </c>
      <c r="O225" s="11"/>
      <c r="P225" s="7">
        <v>41737.910000000003</v>
      </c>
      <c r="Q225" s="2"/>
      <c r="R225" s="6">
        <f t="shared" si="124"/>
        <v>5.8576042609072686E-3</v>
      </c>
      <c r="S225" s="2"/>
      <c r="T225" s="7">
        <v>64600</v>
      </c>
      <c r="U225" s="2"/>
      <c r="V225" s="6">
        <f t="shared" si="125"/>
        <v>6.2727277140956737E-3</v>
      </c>
      <c r="W225" s="2"/>
      <c r="X225" s="7">
        <f t="shared" si="126"/>
        <v>-22862.089999999997</v>
      </c>
      <c r="Y225" s="2"/>
      <c r="Z225" s="6">
        <f t="shared" si="127"/>
        <v>-0.35390232198142407</v>
      </c>
    </row>
    <row r="226" spans="1:26" s="24" customFormat="1" hidden="1" outlineLevel="2" x14ac:dyDescent="0.25">
      <c r="A226" s="26"/>
      <c r="B226" s="11" t="str">
        <f>CONCATENATE("          ", "6237", " - ", "JANITORIAL SUPPLIES")</f>
        <v xml:space="preserve">          6237 - JANITORIAL SUPPLIES</v>
      </c>
      <c r="C226" s="11"/>
      <c r="D226" s="7">
        <v>588.30999999999995</v>
      </c>
      <c r="E226" s="2"/>
      <c r="F226" s="6">
        <f t="shared" si="120"/>
        <v>6.9895976998281966E-4</v>
      </c>
      <c r="G226" s="2"/>
      <c r="H226" s="7">
        <v>270</v>
      </c>
      <c r="I226" s="2"/>
      <c r="J226" s="6">
        <f t="shared" si="121"/>
        <v>3.6236698112068028E-4</v>
      </c>
      <c r="K226" s="2"/>
      <c r="L226" s="7">
        <f t="shared" si="122"/>
        <v>318.30999999999995</v>
      </c>
      <c r="M226" s="2"/>
      <c r="N226" s="6">
        <f t="shared" si="123"/>
        <v>1.1789259259259257</v>
      </c>
      <c r="O226" s="11"/>
      <c r="P226" s="7">
        <v>3489.55</v>
      </c>
      <c r="Q226" s="2"/>
      <c r="R226" s="6">
        <f t="shared" si="124"/>
        <v>4.8973230687997932E-4</v>
      </c>
      <c r="S226" s="2"/>
      <c r="T226" s="7">
        <v>2680</v>
      </c>
      <c r="U226" s="2"/>
      <c r="V226" s="6">
        <f t="shared" si="125"/>
        <v>2.6023080919158523E-4</v>
      </c>
      <c r="W226" s="2"/>
      <c r="X226" s="7">
        <f t="shared" si="126"/>
        <v>809.55000000000018</v>
      </c>
      <c r="Y226" s="2"/>
      <c r="Z226" s="6">
        <f t="shared" si="127"/>
        <v>0.30207089552238814</v>
      </c>
    </row>
    <row r="227" spans="1:26" s="24" customFormat="1" hidden="1" outlineLevel="2" x14ac:dyDescent="0.25">
      <c r="A227" s="26"/>
      <c r="B227" s="11" t="str">
        <f>CONCATENATE("          ", "6241", " - ", "OFFICE EXPENSE")</f>
        <v xml:space="preserve">          6241 - OFFICE EXPENSE</v>
      </c>
      <c r="C227" s="11"/>
      <c r="D227" s="7">
        <v>534.11</v>
      </c>
      <c r="E227" s="2"/>
      <c r="F227" s="6">
        <f t="shared" si="120"/>
        <v>6.3456579481144953E-4</v>
      </c>
      <c r="G227" s="2"/>
      <c r="H227" s="7">
        <v>535</v>
      </c>
      <c r="I227" s="2"/>
      <c r="J227" s="6">
        <f t="shared" si="121"/>
        <v>7.180234625909776E-4</v>
      </c>
      <c r="K227" s="2"/>
      <c r="L227" s="7">
        <f t="shared" si="122"/>
        <v>-0.88999999999998636</v>
      </c>
      <c r="M227" s="2"/>
      <c r="N227" s="6">
        <f t="shared" si="123"/>
        <v>-1.6635514018691333E-3</v>
      </c>
      <c r="O227" s="11"/>
      <c r="P227" s="7">
        <v>12297.75</v>
      </c>
      <c r="Q227" s="2"/>
      <c r="R227" s="6">
        <f t="shared" si="124"/>
        <v>1.725897458678989E-3</v>
      </c>
      <c r="S227" s="2"/>
      <c r="T227" s="7">
        <v>6550</v>
      </c>
      <c r="U227" s="2"/>
      <c r="V227" s="6">
        <f t="shared" si="125"/>
        <v>6.3601186574809075E-4</v>
      </c>
      <c r="W227" s="2"/>
      <c r="X227" s="7">
        <f t="shared" si="126"/>
        <v>5747.75</v>
      </c>
      <c r="Y227" s="2"/>
      <c r="Z227" s="6">
        <f t="shared" si="127"/>
        <v>0.87751908396946565</v>
      </c>
    </row>
    <row r="228" spans="1:26" s="24" customFormat="1" hidden="1" outlineLevel="2" x14ac:dyDescent="0.25">
      <c r="A228" s="26"/>
      <c r="B228" s="11" t="str">
        <f>CONCATENATE("          ", "6243", " - ", "PAPER SUPPLIES")</f>
        <v xml:space="preserve">          6243 - PAPER SUPPLIES</v>
      </c>
      <c r="C228" s="11"/>
      <c r="D228" s="7">
        <v>199.93</v>
      </c>
      <c r="E228" s="2"/>
      <c r="F228" s="6">
        <f t="shared" si="120"/>
        <v>2.3753297889321132E-4</v>
      </c>
      <c r="G228" s="2"/>
      <c r="H228" s="7">
        <v>4650</v>
      </c>
      <c r="I228" s="2"/>
      <c r="J228" s="6">
        <f t="shared" si="121"/>
        <v>6.2407646748561607E-3</v>
      </c>
      <c r="K228" s="2"/>
      <c r="L228" s="7">
        <f t="shared" si="122"/>
        <v>-4450.07</v>
      </c>
      <c r="M228" s="2"/>
      <c r="N228" s="6">
        <f t="shared" si="123"/>
        <v>-0.95700430107526879</v>
      </c>
      <c r="O228" s="11"/>
      <c r="P228" s="7">
        <v>6682.58</v>
      </c>
      <c r="Q228" s="2"/>
      <c r="R228" s="6">
        <f t="shared" si="124"/>
        <v>9.3785024410311137E-4</v>
      </c>
      <c r="S228" s="2"/>
      <c r="T228" s="7">
        <v>21900</v>
      </c>
      <c r="U228" s="2"/>
      <c r="V228" s="6">
        <f t="shared" si="125"/>
        <v>2.1265129557073567E-3</v>
      </c>
      <c r="W228" s="2"/>
      <c r="X228" s="7">
        <f t="shared" si="126"/>
        <v>-15217.42</v>
      </c>
      <c r="Y228" s="2"/>
      <c r="Z228" s="6">
        <f t="shared" si="127"/>
        <v>-0.69485936073059362</v>
      </c>
    </row>
    <row r="229" spans="1:26" s="24" customFormat="1" hidden="1" outlineLevel="2" x14ac:dyDescent="0.25">
      <c r="A229" s="26"/>
      <c r="B229" s="11" t="str">
        <f>CONCATENATE("          ", "6244", " - ", "SAFETY SUPPLY EXPENSE")</f>
        <v xml:space="preserve">          6244 - SAFETY SUPPLY EXPENSE</v>
      </c>
      <c r="C229" s="11"/>
      <c r="D229" s="7"/>
      <c r="E229" s="2"/>
      <c r="F229" s="6">
        <f t="shared" si="120"/>
        <v>0</v>
      </c>
      <c r="G229" s="2"/>
      <c r="H229" s="7">
        <v>25</v>
      </c>
      <c r="I229" s="2"/>
      <c r="J229" s="6">
        <f t="shared" si="121"/>
        <v>3.3552498251914838E-5</v>
      </c>
      <c r="K229" s="2"/>
      <c r="L229" s="7">
        <f t="shared" si="122"/>
        <v>-25</v>
      </c>
      <c r="M229" s="2"/>
      <c r="N229" s="6">
        <f t="shared" si="123"/>
        <v>-1</v>
      </c>
      <c r="O229" s="11"/>
      <c r="P229" s="7"/>
      <c r="Q229" s="2"/>
      <c r="R229" s="6">
        <f t="shared" si="124"/>
        <v>0</v>
      </c>
      <c r="S229" s="2"/>
      <c r="T229" s="7">
        <v>100</v>
      </c>
      <c r="U229" s="2"/>
      <c r="V229" s="6">
        <f t="shared" si="125"/>
        <v>9.7101048205815378E-6</v>
      </c>
      <c r="W229" s="2"/>
      <c r="X229" s="7">
        <f t="shared" si="126"/>
        <v>-100</v>
      </c>
      <c r="Y229" s="2"/>
      <c r="Z229" s="6">
        <f t="shared" si="127"/>
        <v>-1</v>
      </c>
    </row>
    <row r="230" spans="1:26" s="24" customFormat="1" hidden="1" outlineLevel="2" x14ac:dyDescent="0.25">
      <c r="A230" s="26"/>
      <c r="B230" s="11" t="str">
        <f>CONCATENATE("          ", "6245", " - ", "PRINTING")</f>
        <v xml:space="preserve">          6245 - PRINTING</v>
      </c>
      <c r="C230" s="11"/>
      <c r="D230" s="7">
        <v>1766.38</v>
      </c>
      <c r="E230" s="2"/>
      <c r="F230" s="6">
        <f t="shared" si="120"/>
        <v>2.0986020269964018E-3</v>
      </c>
      <c r="G230" s="2"/>
      <c r="H230" s="7">
        <v>350</v>
      </c>
      <c r="I230" s="2"/>
      <c r="J230" s="6">
        <f t="shared" si="121"/>
        <v>4.697349755268078E-4</v>
      </c>
      <c r="K230" s="2"/>
      <c r="L230" s="7">
        <f t="shared" si="122"/>
        <v>1416.38</v>
      </c>
      <c r="M230" s="2"/>
      <c r="N230" s="6">
        <f t="shared" si="123"/>
        <v>4.0468000000000002</v>
      </c>
      <c r="O230" s="11"/>
      <c r="P230" s="7">
        <v>3120.59</v>
      </c>
      <c r="Q230" s="2"/>
      <c r="R230" s="6">
        <f t="shared" si="124"/>
        <v>4.3795152369978786E-4</v>
      </c>
      <c r="S230" s="2"/>
      <c r="T230" s="7">
        <v>4600</v>
      </c>
      <c r="U230" s="2"/>
      <c r="V230" s="6">
        <f t="shared" si="125"/>
        <v>4.4666482174675077E-4</v>
      </c>
      <c r="W230" s="2"/>
      <c r="X230" s="7">
        <f t="shared" si="126"/>
        <v>-1479.4099999999999</v>
      </c>
      <c r="Y230" s="2"/>
      <c r="Z230" s="6">
        <f t="shared" si="127"/>
        <v>-0.32161086956521734</v>
      </c>
    </row>
    <row r="231" spans="1:26" s="24" customFormat="1" hidden="1" outlineLevel="2" x14ac:dyDescent="0.25">
      <c r="A231" s="26"/>
      <c r="B231" s="11" t="str">
        <f>CONCATENATE("          ", "6247", " - ", "STORE SUPPLIES")</f>
        <v xml:space="preserve">          6247 - STORE SUPPLIES</v>
      </c>
      <c r="C231" s="11"/>
      <c r="D231" s="7">
        <v>2162.46</v>
      </c>
      <c r="E231" s="2"/>
      <c r="F231" s="6">
        <f t="shared" si="120"/>
        <v>2.5691770396509468E-3</v>
      </c>
      <c r="G231" s="2"/>
      <c r="H231" s="7">
        <v>2875</v>
      </c>
      <c r="I231" s="2"/>
      <c r="J231" s="6">
        <f t="shared" si="121"/>
        <v>3.8585372989702067E-3</v>
      </c>
      <c r="K231" s="2"/>
      <c r="L231" s="7">
        <f t="shared" si="122"/>
        <v>-712.54</v>
      </c>
      <c r="M231" s="2"/>
      <c r="N231" s="6">
        <f t="shared" si="123"/>
        <v>-0.24783999999999998</v>
      </c>
      <c r="O231" s="11"/>
      <c r="P231" s="7">
        <v>46466.31</v>
      </c>
      <c r="Q231" s="2"/>
      <c r="R231" s="6">
        <f t="shared" si="124"/>
        <v>6.5211999221963437E-3</v>
      </c>
      <c r="S231" s="2"/>
      <c r="T231" s="7">
        <v>30500</v>
      </c>
      <c r="U231" s="2"/>
      <c r="V231" s="6">
        <f t="shared" si="125"/>
        <v>2.9615819702773693E-3</v>
      </c>
      <c r="W231" s="2"/>
      <c r="X231" s="7">
        <f t="shared" si="126"/>
        <v>15966.309999999998</v>
      </c>
      <c r="Y231" s="2"/>
      <c r="Z231" s="6">
        <f t="shared" si="127"/>
        <v>0.52348557377049176</v>
      </c>
    </row>
    <row r="232" spans="1:26" s="24" customFormat="1" hidden="1" outlineLevel="2" x14ac:dyDescent="0.25">
      <c r="A232" s="26"/>
      <c r="B232" s="11" t="str">
        <f>CONCATENATE("          ", "6248", " - ", "UNIFORMS")</f>
        <v xml:space="preserve">          6248 - UNIFORMS</v>
      </c>
      <c r="C232" s="11"/>
      <c r="D232" s="7"/>
      <c r="E232" s="2"/>
      <c r="F232" s="6">
        <f t="shared" si="120"/>
        <v>0</v>
      </c>
      <c r="G232" s="2"/>
      <c r="H232" s="7">
        <v>1500</v>
      </c>
      <c r="I232" s="2"/>
      <c r="J232" s="6">
        <f t="shared" si="121"/>
        <v>2.0131498951148903E-3</v>
      </c>
      <c r="K232" s="2"/>
      <c r="L232" s="7">
        <f t="shared" si="122"/>
        <v>-1500</v>
      </c>
      <c r="M232" s="2"/>
      <c r="N232" s="6">
        <f t="shared" si="123"/>
        <v>-1</v>
      </c>
      <c r="O232" s="11"/>
      <c r="P232" s="7"/>
      <c r="Q232" s="2"/>
      <c r="R232" s="6">
        <f t="shared" si="124"/>
        <v>0</v>
      </c>
      <c r="S232" s="2"/>
      <c r="T232" s="7">
        <v>15200</v>
      </c>
      <c r="U232" s="2"/>
      <c r="V232" s="6">
        <f t="shared" si="125"/>
        <v>1.4759359327283937E-3</v>
      </c>
      <c r="W232" s="2"/>
      <c r="X232" s="7">
        <f t="shared" si="126"/>
        <v>-15200</v>
      </c>
      <c r="Y232" s="2"/>
      <c r="Z232" s="6">
        <f t="shared" si="127"/>
        <v>-1</v>
      </c>
    </row>
    <row r="233" spans="1:26" s="25" customFormat="1" outlineLevel="1" collapsed="1" x14ac:dyDescent="0.25">
      <c r="A233" s="27"/>
      <c r="B233" s="13" t="str">
        <f>CONCATENATE("     ","Telephone/Data Lines                              ")</f>
        <v xml:space="preserve">     Telephone/Data Lines                              </v>
      </c>
      <c r="C233" s="13"/>
      <c r="D233" s="1">
        <f>SUM(OSRRefD22_21x_0)</f>
        <v>2234.06</v>
      </c>
      <c r="E233" s="1"/>
      <c r="F233" s="5">
        <f t="shared" ref="F233:F235" si="128">IF(D$12=0,0,D233/D$12)</f>
        <v>2.6542436193976275E-3</v>
      </c>
      <c r="G233" s="1"/>
      <c r="H233" s="1">
        <f>SUM(OSRRefH22_21x_0)</f>
        <v>2545</v>
      </c>
      <c r="I233" s="1"/>
      <c r="J233" s="5">
        <f t="shared" ref="J233:J235" si="129">IF(H$12=0,0,H233/H$12)</f>
        <v>3.4156443220449309E-3</v>
      </c>
      <c r="K233" s="1"/>
      <c r="L233" s="1">
        <f t="shared" ref="L233:L235" si="130">+D233-H233</f>
        <v>-310.94000000000005</v>
      </c>
      <c r="M233" s="1"/>
      <c r="N233" s="5">
        <f t="shared" ref="N233:N235" si="131">IF(H233=0,0,L233/H233)</f>
        <v>-0.12217681728880159</v>
      </c>
      <c r="O233" s="13"/>
      <c r="P233" s="1">
        <f>SUM(OSRRefP22_21x_0)</f>
        <v>24708.98</v>
      </c>
      <c r="Q233" s="1"/>
      <c r="R233" s="5">
        <f t="shared" ref="R233:R235" si="132">IF(P$12=0,0,P233/P$12)</f>
        <v>3.4677209886808534E-3</v>
      </c>
      <c r="S233" s="1"/>
      <c r="T233" s="1">
        <f>SUM(OSRRefT22_21x_0)</f>
        <v>27760</v>
      </c>
      <c r="U233" s="1"/>
      <c r="V233" s="5">
        <f t="shared" ref="V233:V235" si="133">IF(T$12=0,0,T233/T$12)</f>
        <v>2.695525098193435E-3</v>
      </c>
      <c r="W233" s="1"/>
      <c r="X233" s="1">
        <f t="shared" ref="X233:X235" si="134">+P233-T233</f>
        <v>-3051.0200000000004</v>
      </c>
      <c r="Y233" s="1"/>
      <c r="Z233" s="5">
        <f t="shared" ref="Z233:Z235" si="135">IF(T233=0,0,X233/T233)</f>
        <v>-0.109907060518732</v>
      </c>
    </row>
    <row r="234" spans="1:26" s="24" customFormat="1" hidden="1" outlineLevel="2" x14ac:dyDescent="0.25">
      <c r="A234" s="26"/>
      <c r="B234" s="11" t="str">
        <f>CONCATENATE("          ", "6303", " - ", "DATA PHONE LINES")</f>
        <v xml:space="preserve">          6303 - DATA PHONE LINES</v>
      </c>
      <c r="C234" s="11"/>
      <c r="D234" s="7">
        <v>590</v>
      </c>
      <c r="E234" s="2"/>
      <c r="F234" s="6">
        <f t="shared" si="128"/>
        <v>7.0096762640421489E-4</v>
      </c>
      <c r="G234" s="2"/>
      <c r="H234" s="7">
        <v>630</v>
      </c>
      <c r="I234" s="2"/>
      <c r="J234" s="6">
        <f t="shared" si="129"/>
        <v>8.4552295594825396E-4</v>
      </c>
      <c r="K234" s="2"/>
      <c r="L234" s="7">
        <f t="shared" si="130"/>
        <v>-40</v>
      </c>
      <c r="M234" s="2"/>
      <c r="N234" s="6">
        <f t="shared" si="131"/>
        <v>-6.3492063492063489E-2</v>
      </c>
      <c r="O234" s="11"/>
      <c r="P234" s="7">
        <v>3540</v>
      </c>
      <c r="Q234" s="2"/>
      <c r="R234" s="6">
        <f t="shared" si="132"/>
        <v>4.9681258797126479E-4</v>
      </c>
      <c r="S234" s="2"/>
      <c r="T234" s="7">
        <v>6300</v>
      </c>
      <c r="U234" s="2"/>
      <c r="V234" s="6">
        <f t="shared" si="133"/>
        <v>6.1173660369663694E-4</v>
      </c>
      <c r="W234" s="2"/>
      <c r="X234" s="7">
        <f t="shared" si="134"/>
        <v>-2760</v>
      </c>
      <c r="Y234" s="2"/>
      <c r="Z234" s="6">
        <f t="shared" si="135"/>
        <v>-0.43809523809523809</v>
      </c>
    </row>
    <row r="235" spans="1:26" s="24" customFormat="1" hidden="1" outlineLevel="2" x14ac:dyDescent="0.25">
      <c r="A235" s="26"/>
      <c r="B235" s="11" t="str">
        <f>CONCATENATE("          ", "6309", " - ", "TELEPHONE")</f>
        <v xml:space="preserve">          6309 - TELEPHONE</v>
      </c>
      <c r="C235" s="11"/>
      <c r="D235" s="7">
        <v>1644.06</v>
      </c>
      <c r="E235" s="2"/>
      <c r="F235" s="6">
        <f t="shared" si="128"/>
        <v>1.9532759929934127E-3</v>
      </c>
      <c r="G235" s="2"/>
      <c r="H235" s="7">
        <v>1915</v>
      </c>
      <c r="I235" s="2"/>
      <c r="J235" s="6">
        <f t="shared" si="129"/>
        <v>2.5701213660966767E-3</v>
      </c>
      <c r="K235" s="2"/>
      <c r="L235" s="7">
        <f t="shared" si="130"/>
        <v>-270.94000000000005</v>
      </c>
      <c r="M235" s="2"/>
      <c r="N235" s="6">
        <f t="shared" si="131"/>
        <v>-0.14148302872062665</v>
      </c>
      <c r="O235" s="11"/>
      <c r="P235" s="7">
        <v>21168.98</v>
      </c>
      <c r="Q235" s="2"/>
      <c r="R235" s="6">
        <f t="shared" si="132"/>
        <v>2.9709084007095887E-3</v>
      </c>
      <c r="S235" s="2"/>
      <c r="T235" s="7">
        <v>21460</v>
      </c>
      <c r="U235" s="2"/>
      <c r="V235" s="6">
        <f t="shared" si="133"/>
        <v>2.0837884944967982E-3</v>
      </c>
      <c r="W235" s="2"/>
      <c r="X235" s="7">
        <f t="shared" si="134"/>
        <v>-291.02000000000044</v>
      </c>
      <c r="Y235" s="2"/>
      <c r="Z235" s="6">
        <f t="shared" si="135"/>
        <v>-1.3561043802423133E-2</v>
      </c>
    </row>
    <row r="236" spans="1:26" s="25" customFormat="1" outlineLevel="1" collapsed="1" x14ac:dyDescent="0.25">
      <c r="A236" s="27"/>
      <c r="B236" s="13" t="str">
        <f>CONCATENATE("     ","Training                                          ")</f>
        <v xml:space="preserve">     Training                                          </v>
      </c>
      <c r="C236" s="13"/>
      <c r="D236" s="1">
        <f>SUM(OSRRefD22_22x_0)</f>
        <v>0</v>
      </c>
      <c r="E236" s="1"/>
      <c r="F236" s="5">
        <f t="shared" ref="F236:F241" si="136">IF(D$12=0,0,D236/D$12)</f>
        <v>0</v>
      </c>
      <c r="G236" s="1"/>
      <c r="H236" s="1">
        <f>SUM(OSRRefH22_22x_0)</f>
        <v>0</v>
      </c>
      <c r="I236" s="1"/>
      <c r="J236" s="5">
        <f t="shared" ref="J236:J241" si="137">IF(H$12=0,0,H236/H$12)</f>
        <v>0</v>
      </c>
      <c r="K236" s="1"/>
      <c r="L236" s="1">
        <f t="shared" ref="L236:L241" si="138">+D236-H236</f>
        <v>0</v>
      </c>
      <c r="M236" s="1"/>
      <c r="N236" s="5">
        <f t="shared" ref="N236:N241" si="139">IF(H236=0,0,L236/H236)</f>
        <v>0</v>
      </c>
      <c r="O236" s="13"/>
      <c r="P236" s="1">
        <f>SUM(OSRRefP22_22x_0)</f>
        <v>995.63</v>
      </c>
      <c r="Q236" s="1"/>
      <c r="R236" s="5">
        <f t="shared" ref="R236:R241" si="140">IF(P$12=0,0,P236/P$12)</f>
        <v>1.3972924207961309E-4</v>
      </c>
      <c r="S236" s="1"/>
      <c r="T236" s="1">
        <f>SUM(OSRRefT22_22x_0)</f>
        <v>14470</v>
      </c>
      <c r="U236" s="1"/>
      <c r="V236" s="5">
        <f t="shared" ref="V236:V241" si="141">IF(T$12=0,0,T236/T$12)</f>
        <v>1.4050521675381487E-3</v>
      </c>
      <c r="W236" s="1"/>
      <c r="X236" s="1">
        <f t="shared" ref="X236:X241" si="142">+P236-T236</f>
        <v>-13474.37</v>
      </c>
      <c r="Y236" s="1"/>
      <c r="Z236" s="5">
        <f t="shared" ref="Z236:Z241" si="143">IF(T236=0,0,X236/T236)</f>
        <v>-0.93119350380096755</v>
      </c>
    </row>
    <row r="237" spans="1:26" s="24" customFormat="1" hidden="1" outlineLevel="2" x14ac:dyDescent="0.25">
      <c r="A237" s="26"/>
      <c r="B237" s="11" t="str">
        <f>CONCATENATE("          ", "6376", " - ", "TRAINING")</f>
        <v xml:space="preserve">          6376 - TRAINING</v>
      </c>
      <c r="C237" s="11"/>
      <c r="D237" s="7"/>
      <c r="E237" s="2"/>
      <c r="F237" s="6">
        <f t="shared" si="136"/>
        <v>0</v>
      </c>
      <c r="G237" s="2"/>
      <c r="H237" s="7">
        <v>0</v>
      </c>
      <c r="I237" s="2"/>
      <c r="J237" s="6">
        <f t="shared" si="137"/>
        <v>0</v>
      </c>
      <c r="K237" s="2"/>
      <c r="L237" s="7">
        <f t="shared" si="138"/>
        <v>0</v>
      </c>
      <c r="M237" s="2"/>
      <c r="N237" s="6">
        <f t="shared" si="139"/>
        <v>0</v>
      </c>
      <c r="O237" s="11"/>
      <c r="P237" s="7">
        <v>995.63</v>
      </c>
      <c r="Q237" s="2"/>
      <c r="R237" s="6">
        <f t="shared" si="140"/>
        <v>1.3972924207961309E-4</v>
      </c>
      <c r="S237" s="2"/>
      <c r="T237" s="7">
        <v>14470</v>
      </c>
      <c r="U237" s="2"/>
      <c r="V237" s="6">
        <f t="shared" si="141"/>
        <v>1.4050521675381487E-3</v>
      </c>
      <c r="W237" s="2"/>
      <c r="X237" s="7">
        <f t="shared" si="142"/>
        <v>-13474.37</v>
      </c>
      <c r="Y237" s="2"/>
      <c r="Z237" s="6">
        <f t="shared" si="143"/>
        <v>-0.93119350380096755</v>
      </c>
    </row>
    <row r="238" spans="1:26" s="25" customFormat="1" outlineLevel="1" collapsed="1" x14ac:dyDescent="0.25">
      <c r="A238" s="27"/>
      <c r="B238" s="13" t="str">
        <f>CONCATENATE("     ","Travel                                            ")</f>
        <v xml:space="preserve">     Travel                                            </v>
      </c>
      <c r="C238" s="13"/>
      <c r="D238" s="1">
        <f>SUM(OSRRefD22_23x_0)</f>
        <v>69.069999999999993</v>
      </c>
      <c r="E238" s="1"/>
      <c r="F238" s="5">
        <f t="shared" si="136"/>
        <v>8.2060735518201897E-5</v>
      </c>
      <c r="G238" s="1"/>
      <c r="H238" s="1">
        <f>SUM(OSRRefH22_23x_0)</f>
        <v>50</v>
      </c>
      <c r="I238" s="1"/>
      <c r="J238" s="5">
        <f t="shared" si="137"/>
        <v>6.7104996503829676E-5</v>
      </c>
      <c r="K238" s="1"/>
      <c r="L238" s="1">
        <f t="shared" si="138"/>
        <v>19.069999999999993</v>
      </c>
      <c r="M238" s="1"/>
      <c r="N238" s="5">
        <f t="shared" si="139"/>
        <v>0.38139999999999985</v>
      </c>
      <c r="O238" s="13"/>
      <c r="P238" s="1">
        <f>SUM(OSRRefP22_23x_0)</f>
        <v>972.4</v>
      </c>
      <c r="Q238" s="1"/>
      <c r="R238" s="5">
        <f t="shared" si="140"/>
        <v>1.3646908489922538E-4</v>
      </c>
      <c r="S238" s="1"/>
      <c r="T238" s="1">
        <f>SUM(OSRRefT22_23x_0)</f>
        <v>700</v>
      </c>
      <c r="U238" s="1"/>
      <c r="V238" s="5">
        <f t="shared" si="141"/>
        <v>6.7970733744070766E-5</v>
      </c>
      <c r="W238" s="1"/>
      <c r="X238" s="1">
        <f t="shared" si="142"/>
        <v>272.39999999999998</v>
      </c>
      <c r="Y238" s="1"/>
      <c r="Z238" s="5">
        <f t="shared" si="143"/>
        <v>0.38914285714285712</v>
      </c>
    </row>
    <row r="239" spans="1:26" s="24" customFormat="1" hidden="1" outlineLevel="2" x14ac:dyDescent="0.25">
      <c r="A239" s="26"/>
      <c r="B239" s="11" t="str">
        <f>CONCATENATE("          ", "6292", " - ", "TRAVEL/CONFERENCE")</f>
        <v xml:space="preserve">          6292 - TRAVEL/CONFERENCE</v>
      </c>
      <c r="C239" s="11"/>
      <c r="D239" s="7"/>
      <c r="E239" s="2"/>
      <c r="F239" s="6">
        <f t="shared" si="136"/>
        <v>0</v>
      </c>
      <c r="G239" s="2"/>
      <c r="H239" s="7"/>
      <c r="I239" s="2"/>
      <c r="J239" s="6">
        <f t="shared" si="137"/>
        <v>0</v>
      </c>
      <c r="K239" s="2"/>
      <c r="L239" s="7">
        <f t="shared" si="138"/>
        <v>0</v>
      </c>
      <c r="M239" s="2"/>
      <c r="N239" s="6">
        <f t="shared" si="139"/>
        <v>0</v>
      </c>
      <c r="O239" s="11"/>
      <c r="P239" s="7">
        <v>299.16000000000003</v>
      </c>
      <c r="Q239" s="2"/>
      <c r="R239" s="6">
        <f t="shared" si="140"/>
        <v>4.1984873959741121E-5</v>
      </c>
      <c r="S239" s="2"/>
      <c r="T239" s="7">
        <v>0</v>
      </c>
      <c r="U239" s="2"/>
      <c r="V239" s="6">
        <f t="shared" si="141"/>
        <v>0</v>
      </c>
      <c r="W239" s="2"/>
      <c r="X239" s="7">
        <f t="shared" si="142"/>
        <v>299.16000000000003</v>
      </c>
      <c r="Y239" s="2"/>
      <c r="Z239" s="6">
        <f t="shared" si="143"/>
        <v>0</v>
      </c>
    </row>
    <row r="240" spans="1:26" s="24" customFormat="1" hidden="1" outlineLevel="2" x14ac:dyDescent="0.25">
      <c r="A240" s="26"/>
      <c r="B240" s="11" t="str">
        <f>CONCATENATE("          ", "6294", " - ", "TRAVEL OPERATIONAL")</f>
        <v xml:space="preserve">          6294 - TRAVEL OPERATIONAL</v>
      </c>
      <c r="C240" s="11"/>
      <c r="D240" s="7">
        <v>69.069999999999993</v>
      </c>
      <c r="E240" s="2"/>
      <c r="F240" s="6">
        <f t="shared" si="136"/>
        <v>8.2060735518201897E-5</v>
      </c>
      <c r="G240" s="2"/>
      <c r="H240" s="7">
        <v>25</v>
      </c>
      <c r="I240" s="2"/>
      <c r="J240" s="6">
        <f t="shared" si="137"/>
        <v>3.3552498251914838E-5</v>
      </c>
      <c r="K240" s="2"/>
      <c r="L240" s="7">
        <f t="shared" si="138"/>
        <v>44.069999999999993</v>
      </c>
      <c r="M240" s="2"/>
      <c r="N240" s="6">
        <f t="shared" si="139"/>
        <v>1.7627999999999997</v>
      </c>
      <c r="O240" s="11"/>
      <c r="P240" s="7">
        <v>613.35</v>
      </c>
      <c r="Q240" s="2"/>
      <c r="R240" s="6">
        <f t="shared" si="140"/>
        <v>8.6079096280275487E-5</v>
      </c>
      <c r="S240" s="2"/>
      <c r="T240" s="7">
        <v>250</v>
      </c>
      <c r="U240" s="2"/>
      <c r="V240" s="6">
        <f t="shared" si="141"/>
        <v>2.4275262051453847E-5</v>
      </c>
      <c r="W240" s="2"/>
      <c r="X240" s="7">
        <f t="shared" si="142"/>
        <v>363.35</v>
      </c>
      <c r="Y240" s="2"/>
      <c r="Z240" s="6">
        <f t="shared" si="143"/>
        <v>1.4534</v>
      </c>
    </row>
    <row r="241" spans="1:26" s="24" customFormat="1" hidden="1" outlineLevel="2" x14ac:dyDescent="0.25">
      <c r="A241" s="26"/>
      <c r="B241" s="11" t="str">
        <f>CONCATENATE("          ", "6298", " - ", "VEHICLE MILEAGE")</f>
        <v xml:space="preserve">          6298 - VEHICLE MILEAGE</v>
      </c>
      <c r="C241" s="11"/>
      <c r="D241" s="7"/>
      <c r="E241" s="2"/>
      <c r="F241" s="6">
        <f t="shared" si="136"/>
        <v>0</v>
      </c>
      <c r="G241" s="2"/>
      <c r="H241" s="7">
        <v>25</v>
      </c>
      <c r="I241" s="2"/>
      <c r="J241" s="6">
        <f t="shared" si="137"/>
        <v>3.3552498251914838E-5</v>
      </c>
      <c r="K241" s="2"/>
      <c r="L241" s="7">
        <f t="shared" si="138"/>
        <v>-25</v>
      </c>
      <c r="M241" s="2"/>
      <c r="N241" s="6">
        <f t="shared" si="139"/>
        <v>-1</v>
      </c>
      <c r="O241" s="11"/>
      <c r="P241" s="7">
        <v>59.89</v>
      </c>
      <c r="Q241" s="2"/>
      <c r="R241" s="6">
        <f t="shared" si="140"/>
        <v>8.40511465920877E-6</v>
      </c>
      <c r="S241" s="2"/>
      <c r="T241" s="7">
        <v>450</v>
      </c>
      <c r="U241" s="2"/>
      <c r="V241" s="6">
        <f t="shared" si="141"/>
        <v>4.3695471692616919E-5</v>
      </c>
      <c r="W241" s="2"/>
      <c r="X241" s="7">
        <f t="shared" si="142"/>
        <v>-390.11</v>
      </c>
      <c r="Y241" s="2"/>
      <c r="Z241" s="6">
        <f t="shared" si="143"/>
        <v>-0.86691111111111119</v>
      </c>
    </row>
    <row r="242" spans="1:26" s="25" customFormat="1" outlineLevel="1" collapsed="1" x14ac:dyDescent="0.25">
      <c r="A242" s="27"/>
      <c r="B242" s="13" t="str">
        <f>CONCATENATE("     ","Utilities                                         ")</f>
        <v xml:space="preserve">     Utilities                                         </v>
      </c>
      <c r="C242" s="13"/>
      <c r="D242" s="1">
        <f>SUM(OSRRefD22_24x_0)</f>
        <v>6161.93</v>
      </c>
      <c r="E242" s="1"/>
      <c r="F242" s="5">
        <f t="shared" ref="F242:F243" si="144">IF(D$12=0,0,D242/D$12)</f>
        <v>7.3208702477439392E-3</v>
      </c>
      <c r="G242" s="1"/>
      <c r="H242" s="1">
        <f>SUM(OSRRefH22_24x_0)</f>
        <v>6105</v>
      </c>
      <c r="I242" s="1"/>
      <c r="J242" s="5">
        <f t="shared" ref="J242:J243" si="145">IF(H$12=0,0,H242/H$12)</f>
        <v>8.193520073117605E-3</v>
      </c>
      <c r="K242" s="1"/>
      <c r="L242" s="1">
        <f t="shared" ref="L242:L243" si="146">+D242-H242</f>
        <v>56.930000000000291</v>
      </c>
      <c r="M242" s="1"/>
      <c r="N242" s="5">
        <f t="shared" ref="N242:N243" si="147">IF(H242=0,0,L242/H242)</f>
        <v>9.3251433251433733E-3</v>
      </c>
      <c r="O242" s="13"/>
      <c r="P242" s="1">
        <f>SUM(OSRRefP22_24x_0)</f>
        <v>58679.55</v>
      </c>
      <c r="Q242" s="1"/>
      <c r="R242" s="5">
        <f t="shared" ref="R242:R243" si="148">IF(P$12=0,0,P242/P$12)</f>
        <v>8.2352370329065623E-3</v>
      </c>
      <c r="S242" s="1"/>
      <c r="T242" s="1">
        <f>SUM(OSRRefT22_24x_0)</f>
        <v>64030</v>
      </c>
      <c r="U242" s="1"/>
      <c r="V242" s="5">
        <f t="shared" ref="V242:V243" si="149">IF(T$12=0,0,T242/T$12)</f>
        <v>6.2173801166183588E-3</v>
      </c>
      <c r="W242" s="1"/>
      <c r="X242" s="1">
        <f t="shared" ref="X242:X243" si="150">+P242-T242</f>
        <v>-5350.4499999999971</v>
      </c>
      <c r="Y242" s="1"/>
      <c r="Z242" s="5">
        <f t="shared" ref="Z242:Z243" si="151">IF(T242=0,0,X242/T242)</f>
        <v>-8.3561611744494724E-2</v>
      </c>
    </row>
    <row r="243" spans="1:26" s="24" customFormat="1" hidden="1" outlineLevel="2" x14ac:dyDescent="0.25">
      <c r="A243" s="26"/>
      <c r="B243" s="11" t="str">
        <f>CONCATENATE("          ", "6274", " - ", "UTILITIES")</f>
        <v xml:space="preserve">          6274 - UTILITIES</v>
      </c>
      <c r="C243" s="11"/>
      <c r="D243" s="7">
        <v>6161.93</v>
      </c>
      <c r="E243" s="2"/>
      <c r="F243" s="6">
        <f t="shared" si="144"/>
        <v>7.3208702477439392E-3</v>
      </c>
      <c r="G243" s="2"/>
      <c r="H243" s="7">
        <v>6105</v>
      </c>
      <c r="I243" s="2"/>
      <c r="J243" s="6">
        <f t="shared" si="145"/>
        <v>8.193520073117605E-3</v>
      </c>
      <c r="K243" s="2"/>
      <c r="L243" s="7">
        <f t="shared" si="146"/>
        <v>56.930000000000291</v>
      </c>
      <c r="M243" s="2"/>
      <c r="N243" s="6">
        <f t="shared" si="147"/>
        <v>9.3251433251433733E-3</v>
      </c>
      <c r="O243" s="11"/>
      <c r="P243" s="7">
        <v>58679.55</v>
      </c>
      <c r="Q243" s="2"/>
      <c r="R243" s="6">
        <f t="shared" si="148"/>
        <v>8.2352370329065623E-3</v>
      </c>
      <c r="S243" s="2"/>
      <c r="T243" s="7">
        <v>64030</v>
      </c>
      <c r="U243" s="2"/>
      <c r="V243" s="6">
        <f t="shared" si="149"/>
        <v>6.2173801166183588E-3</v>
      </c>
      <c r="W243" s="2"/>
      <c r="X243" s="7">
        <f t="shared" si="150"/>
        <v>-5350.4499999999971</v>
      </c>
      <c r="Y243" s="2"/>
      <c r="Z243" s="6">
        <f t="shared" si="151"/>
        <v>-8.3561611744494724E-2</v>
      </c>
    </row>
    <row r="244" spans="1:26" s="61" customFormat="1" x14ac:dyDescent="0.25">
      <c r="A244" s="36"/>
      <c r="B244" s="36"/>
      <c r="C244" s="36"/>
      <c r="D244" s="1"/>
      <c r="E244" s="1"/>
      <c r="F244" s="5"/>
      <c r="G244" s="1"/>
      <c r="H244" s="1"/>
      <c r="I244" s="1"/>
      <c r="J244" s="5"/>
      <c r="K244" s="1"/>
      <c r="L244" s="1"/>
      <c r="M244" s="1"/>
      <c r="N244" s="5"/>
      <c r="O244" s="36"/>
      <c r="P244" s="1"/>
      <c r="Q244" s="1"/>
      <c r="R244" s="5"/>
      <c r="S244" s="1"/>
      <c r="T244" s="1"/>
      <c r="U244" s="1"/>
      <c r="V244" s="5"/>
      <c r="W244" s="1"/>
      <c r="X244" s="1"/>
      <c r="Y244" s="1"/>
      <c r="Z244" s="5"/>
    </row>
    <row r="245" spans="1:26" s="23" customFormat="1" collapsed="1" x14ac:dyDescent="0.25">
      <c r="A245" s="10"/>
      <c r="B245" s="29" t="s">
        <v>293</v>
      </c>
      <c r="C245" s="10"/>
      <c r="D245" s="4">
        <f>SUM(OSRRefD25x_0)</f>
        <v>7587.3200000000006</v>
      </c>
      <c r="E245" s="4"/>
      <c r="F245" s="12">
        <f t="shared" ref="F245:F251" si="152">IF(D$12=0,0,D245/D$12)</f>
        <v>9.0143486291003865E-3</v>
      </c>
      <c r="G245" s="4"/>
      <c r="H245" s="4">
        <f>SUM(OSRRefH25x_0)</f>
        <v>36182</v>
      </c>
      <c r="I245" s="4"/>
      <c r="J245" s="12">
        <f t="shared" ref="J245:J251" si="153">IF(H$12=0,0,H245/H$12)</f>
        <v>4.8559859670031312E-2</v>
      </c>
      <c r="K245" s="4"/>
      <c r="L245" s="4">
        <f t="shared" ref="L245:L251" si="154">+D245-H245</f>
        <v>-28594.68</v>
      </c>
      <c r="M245" s="4"/>
      <c r="N245" s="12">
        <f t="shared" ref="N245:N251" si="155">IF(H245=0,0,L245/H245)</f>
        <v>-0.79030125476756397</v>
      </c>
      <c r="O245" s="10"/>
      <c r="P245" s="4">
        <f>SUM(OSRRefP25x_0)</f>
        <v>996729.42999999993</v>
      </c>
      <c r="Q245" s="4"/>
      <c r="R245" s="12">
        <f t="shared" ref="R245:R251" si="156">IF(P$12=0,0,P245/P$12)</f>
        <v>0.13988353887723828</v>
      </c>
      <c r="S245" s="4"/>
      <c r="T245" s="4">
        <f>SUM(OSRRefT25x_0)</f>
        <v>887517</v>
      </c>
      <c r="U245" s="4"/>
      <c r="V245" s="12">
        <f t="shared" ref="V245:V251" si="157">IF(T$12=0,0,T245/T$12)</f>
        <v>8.6178831000480655E-2</v>
      </c>
      <c r="W245" s="4"/>
      <c r="X245" s="4">
        <f t="shared" ref="X245:X251" si="158">+P245-T245</f>
        <v>109212.42999999993</v>
      </c>
      <c r="Y245" s="4"/>
      <c r="Z245" s="12">
        <f t="shared" ref="Z245:Z251" si="159">IF(T245=0,0,X245/T245)</f>
        <v>0.1230539020661012</v>
      </c>
    </row>
    <row r="246" spans="1:26" s="24" customFormat="1" hidden="1" outlineLevel="1" x14ac:dyDescent="0.25">
      <c r="A246" s="44"/>
      <c r="B246" s="11" t="str">
        <f>CONCATENATE("          ", "4098", " - ", "TAXABLE SALES-GRAD RENTALS")</f>
        <v xml:space="preserve">          4098 - TAXABLE SALES-GRAD RENTALS</v>
      </c>
      <c r="C246" s="11"/>
      <c r="D246" s="2">
        <f>--49.95</f>
        <v>49.95</v>
      </c>
      <c r="E246" s="2"/>
      <c r="F246" s="19">
        <f t="shared" si="152"/>
        <v>5.9344632099814466E-5</v>
      </c>
      <c r="G246" s="2"/>
      <c r="H246" s="2"/>
      <c r="I246" s="2"/>
      <c r="J246" s="19">
        <f t="shared" si="153"/>
        <v>0</v>
      </c>
      <c r="K246" s="2"/>
      <c r="L246" s="2">
        <f t="shared" si="154"/>
        <v>49.95</v>
      </c>
      <c r="M246" s="2"/>
      <c r="N246" s="19">
        <f t="shared" si="155"/>
        <v>0</v>
      </c>
      <c r="O246" s="11"/>
      <c r="P246" s="2">
        <f>--49.95</f>
        <v>49.95</v>
      </c>
      <c r="Q246" s="2"/>
      <c r="R246" s="19">
        <f t="shared" si="156"/>
        <v>7.0101098217979304E-6</v>
      </c>
      <c r="S246" s="2"/>
      <c r="T246" s="2"/>
      <c r="U246" s="2"/>
      <c r="V246" s="19">
        <f t="shared" si="157"/>
        <v>0</v>
      </c>
      <c r="W246" s="2"/>
      <c r="X246" s="2">
        <f t="shared" si="158"/>
        <v>49.95</v>
      </c>
      <c r="Y246" s="2"/>
      <c r="Z246" s="19">
        <f t="shared" si="159"/>
        <v>0</v>
      </c>
    </row>
    <row r="247" spans="1:26" s="24" customFormat="1" hidden="1" outlineLevel="1" x14ac:dyDescent="0.25">
      <c r="A247" s="44"/>
      <c r="B247" s="11" t="str">
        <f>CONCATENATE("          ", "4187", " - ", "NON-TAXABLE SALES-COMPUTER REP")</f>
        <v xml:space="preserve">          4187 - NON-TAXABLE SALES-COMPUTER REP</v>
      </c>
      <c r="C247" s="11"/>
      <c r="D247" s="2">
        <f>--1700.99</f>
        <v>1700.99</v>
      </c>
      <c r="E247" s="2"/>
      <c r="F247" s="19">
        <f t="shared" si="152"/>
        <v>2.020913428537806E-3</v>
      </c>
      <c r="G247" s="2"/>
      <c r="H247" s="2"/>
      <c r="I247" s="2"/>
      <c r="J247" s="19">
        <f t="shared" si="153"/>
        <v>0</v>
      </c>
      <c r="K247" s="2"/>
      <c r="L247" s="2">
        <f t="shared" si="154"/>
        <v>1700.99</v>
      </c>
      <c r="M247" s="2"/>
      <c r="N247" s="19">
        <f t="shared" si="155"/>
        <v>0</v>
      </c>
      <c r="O247" s="11"/>
      <c r="P247" s="2">
        <f>--3315.96</f>
        <v>3315.96</v>
      </c>
      <c r="Q247" s="2"/>
      <c r="R247" s="19">
        <f t="shared" si="156"/>
        <v>4.6537024553932064E-4</v>
      </c>
      <c r="S247" s="2"/>
      <c r="T247" s="2"/>
      <c r="U247" s="2"/>
      <c r="V247" s="19">
        <f t="shared" si="157"/>
        <v>0</v>
      </c>
      <c r="W247" s="2"/>
      <c r="X247" s="2">
        <f t="shared" si="158"/>
        <v>3315.96</v>
      </c>
      <c r="Y247" s="2"/>
      <c r="Z247" s="19">
        <f t="shared" si="159"/>
        <v>0</v>
      </c>
    </row>
    <row r="248" spans="1:26" s="24" customFormat="1" hidden="1" outlineLevel="1" x14ac:dyDescent="0.25">
      <c r="A248" s="44"/>
      <c r="B248" s="11" t="str">
        <f>CONCATENATE("          ", "9150", " - ", "MISC. INCOME")</f>
        <v xml:space="preserve">          9150 - MISC. INCOME</v>
      </c>
      <c r="C248" s="11"/>
      <c r="D248" s="2">
        <f>--5286.34</f>
        <v>5286.34</v>
      </c>
      <c r="E248" s="2"/>
      <c r="F248" s="19">
        <f t="shared" si="152"/>
        <v>6.2805986477384021E-3</v>
      </c>
      <c r="G248" s="2"/>
      <c r="H248" s="2">
        <v>20707</v>
      </c>
      <c r="I248" s="2"/>
      <c r="J248" s="19">
        <f t="shared" si="153"/>
        <v>2.7790863252096024E-2</v>
      </c>
      <c r="K248" s="2"/>
      <c r="L248" s="2">
        <f t="shared" si="154"/>
        <v>-15420.66</v>
      </c>
      <c r="M248" s="2"/>
      <c r="N248" s="19">
        <f t="shared" si="155"/>
        <v>-0.74470758680639393</v>
      </c>
      <c r="O248" s="11"/>
      <c r="P248" s="2">
        <f>--347040</f>
        <v>347040</v>
      </c>
      <c r="Q248" s="2"/>
      <c r="R248" s="19">
        <f t="shared" si="156"/>
        <v>4.8704474725860938E-2</v>
      </c>
      <c r="S248" s="2"/>
      <c r="T248" s="2">
        <v>216547</v>
      </c>
      <c r="U248" s="2"/>
      <c r="V248" s="19">
        <f t="shared" si="157"/>
        <v>2.1026940685824703E-2</v>
      </c>
      <c r="W248" s="2"/>
      <c r="X248" s="2">
        <f t="shared" si="158"/>
        <v>130493</v>
      </c>
      <c r="Y248" s="2"/>
      <c r="Z248" s="19">
        <f t="shared" si="159"/>
        <v>0.60260820976508567</v>
      </c>
    </row>
    <row r="249" spans="1:26" s="24" customFormat="1" hidden="1" outlineLevel="1" x14ac:dyDescent="0.25">
      <c r="A249" s="44"/>
      <c r="B249" s="11" t="str">
        <f>CONCATENATE("          ", "9151", " - ", "MISC. INCOME")</f>
        <v xml:space="preserve">          9151 - MISC. INCOME</v>
      </c>
      <c r="C249" s="11"/>
      <c r="D249" s="2">
        <f>0</f>
        <v>0</v>
      </c>
      <c r="E249" s="2"/>
      <c r="F249" s="19">
        <f t="shared" si="152"/>
        <v>0</v>
      </c>
      <c r="G249" s="2"/>
      <c r="H249" s="2">
        <v>15475</v>
      </c>
      <c r="I249" s="2"/>
      <c r="J249" s="19">
        <f t="shared" si="153"/>
        <v>2.0768996417935285E-2</v>
      </c>
      <c r="K249" s="2"/>
      <c r="L249" s="2">
        <f t="shared" si="154"/>
        <v>-15475</v>
      </c>
      <c r="M249" s="2"/>
      <c r="N249" s="19">
        <f t="shared" si="155"/>
        <v>-1</v>
      </c>
      <c r="O249" s="11"/>
      <c r="P249" s="2">
        <f>--295628.46</f>
        <v>295628.46000000002</v>
      </c>
      <c r="Q249" s="2"/>
      <c r="R249" s="19">
        <f t="shared" si="156"/>
        <v>4.1489248669649585E-2</v>
      </c>
      <c r="S249" s="2"/>
      <c r="T249" s="2">
        <v>670970</v>
      </c>
      <c r="U249" s="2"/>
      <c r="V249" s="19">
        <f t="shared" si="157"/>
        <v>6.5151890314655944E-2</v>
      </c>
      <c r="W249" s="2"/>
      <c r="X249" s="2">
        <f t="shared" si="158"/>
        <v>-375341.54</v>
      </c>
      <c r="Y249" s="2"/>
      <c r="Z249" s="19">
        <f t="shared" si="159"/>
        <v>-0.55940137412999091</v>
      </c>
    </row>
    <row r="250" spans="1:26" s="24" customFormat="1" hidden="1" outlineLevel="1" x14ac:dyDescent="0.25">
      <c r="A250" s="44"/>
      <c r="B250" s="11" t="str">
        <f>CONCATENATE("          ", "9152", " - ", "MISC. INCOME")</f>
        <v xml:space="preserve">          9152 - MISC. INCOME</v>
      </c>
      <c r="C250" s="11"/>
      <c r="D250" s="2">
        <f>--505.94</f>
        <v>505.94</v>
      </c>
      <c r="E250" s="2"/>
      <c r="F250" s="19">
        <f t="shared" si="152"/>
        <v>6.0109756085245506E-4</v>
      </c>
      <c r="G250" s="2"/>
      <c r="H250" s="2"/>
      <c r="I250" s="2"/>
      <c r="J250" s="19">
        <f t="shared" si="153"/>
        <v>0</v>
      </c>
      <c r="K250" s="2"/>
      <c r="L250" s="2">
        <f t="shared" si="154"/>
        <v>505.94</v>
      </c>
      <c r="M250" s="2"/>
      <c r="N250" s="19">
        <f t="shared" si="155"/>
        <v>0</v>
      </c>
      <c r="O250" s="11"/>
      <c r="P250" s="2">
        <f>--4216.5</f>
        <v>4216.5</v>
      </c>
      <c r="Q250" s="2"/>
      <c r="R250" s="19">
        <f t="shared" si="156"/>
        <v>5.917543155878073E-4</v>
      </c>
      <c r="S250" s="2"/>
      <c r="T250" s="2"/>
      <c r="U250" s="2"/>
      <c r="V250" s="19">
        <f t="shared" si="157"/>
        <v>0</v>
      </c>
      <c r="W250" s="2"/>
      <c r="X250" s="2">
        <f t="shared" si="158"/>
        <v>4216.5</v>
      </c>
      <c r="Y250" s="2"/>
      <c r="Z250" s="19">
        <f t="shared" si="159"/>
        <v>0</v>
      </c>
    </row>
    <row r="251" spans="1:26" s="24" customFormat="1" hidden="1" outlineLevel="1" x14ac:dyDescent="0.25">
      <c r="A251" s="44"/>
      <c r="B251" s="11" t="str">
        <f>CONCATENATE("          ", "9163", " - ", "MISC. INCOME")</f>
        <v xml:space="preserve">          9163 - MISC. INCOME</v>
      </c>
      <c r="C251" s="11"/>
      <c r="D251" s="2">
        <f>--44.1</f>
        <v>44.1</v>
      </c>
      <c r="E251" s="2"/>
      <c r="F251" s="19">
        <f t="shared" si="152"/>
        <v>5.2394359871908267E-5</v>
      </c>
      <c r="G251" s="2"/>
      <c r="H251" s="2"/>
      <c r="I251" s="2"/>
      <c r="J251" s="19">
        <f t="shared" si="153"/>
        <v>0</v>
      </c>
      <c r="K251" s="2"/>
      <c r="L251" s="2">
        <f t="shared" si="154"/>
        <v>44.1</v>
      </c>
      <c r="M251" s="2"/>
      <c r="N251" s="19">
        <f t="shared" si="155"/>
        <v>0</v>
      </c>
      <c r="O251" s="11"/>
      <c r="P251" s="2">
        <f>--346478.56</f>
        <v>346478.56</v>
      </c>
      <c r="Q251" s="2"/>
      <c r="R251" s="19">
        <f t="shared" si="156"/>
        <v>4.8625680810778851E-2</v>
      </c>
      <c r="S251" s="2"/>
      <c r="T251" s="2"/>
      <c r="U251" s="2"/>
      <c r="V251" s="19">
        <f t="shared" si="157"/>
        <v>0</v>
      </c>
      <c r="W251" s="2"/>
      <c r="X251" s="2">
        <f t="shared" si="158"/>
        <v>346478.56</v>
      </c>
      <c r="Y251" s="2"/>
      <c r="Z251" s="19">
        <f t="shared" si="159"/>
        <v>0</v>
      </c>
    </row>
    <row r="252" spans="1:26" x14ac:dyDescent="0.25">
      <c r="A252" s="9"/>
      <c r="B252" s="10"/>
      <c r="C252" s="10"/>
      <c r="D252" s="3"/>
      <c r="E252" s="3"/>
      <c r="F252" s="8"/>
      <c r="G252" s="3"/>
      <c r="H252" s="3"/>
      <c r="I252" s="3"/>
      <c r="J252" s="8"/>
      <c r="K252" s="3"/>
      <c r="L252" s="3"/>
      <c r="M252" s="3"/>
      <c r="N252" s="8"/>
      <c r="O252" s="10"/>
      <c r="P252" s="3"/>
      <c r="Q252" s="3"/>
      <c r="R252" s="8"/>
      <c r="S252" s="3"/>
      <c r="T252" s="3"/>
      <c r="U252" s="3"/>
      <c r="V252" s="8"/>
      <c r="W252" s="3"/>
      <c r="X252" s="3"/>
      <c r="Y252" s="3"/>
      <c r="Z252" s="8"/>
    </row>
    <row r="253" spans="1:26" s="23" customFormat="1" x14ac:dyDescent="0.25">
      <c r="A253" s="10"/>
      <c r="B253" s="28" t="s">
        <v>277</v>
      </c>
      <c r="C253" s="28"/>
      <c r="D253" s="21">
        <f>+D144-D146+D245</f>
        <v>-12527.7599999999</v>
      </c>
      <c r="E253" s="14"/>
      <c r="F253" s="20">
        <f>IF(D$12=0,0,D253/D$12)</f>
        <v>-1.4883990154850164E-2</v>
      </c>
      <c r="G253" s="14"/>
      <c r="H253" s="21">
        <f>+H144-H146+H245</f>
        <v>-107571.50220953091</v>
      </c>
      <c r="I253" s="14"/>
      <c r="J253" s="20">
        <f>IF(H$12=0,0,H253/H$12)</f>
        <v>-0.14437170559364557</v>
      </c>
      <c r="K253" s="16"/>
      <c r="L253" s="21">
        <f>+D253-H253</f>
        <v>95043.742209531018</v>
      </c>
      <c r="M253" s="16"/>
      <c r="N253" s="20">
        <f>IF(H253=0,0,L253/H253)</f>
        <v>-0.88354015940394737</v>
      </c>
      <c r="O253" s="29"/>
      <c r="P253" s="21">
        <f>+P144-P146+P245</f>
        <v>168032.72999999695</v>
      </c>
      <c r="Q253" s="14"/>
      <c r="R253" s="20">
        <f>IF(P$12=0,0,P253/P$12)</f>
        <v>2.3582139959089057E-2</v>
      </c>
      <c r="S253" s="14"/>
      <c r="T253" s="21">
        <f>+T144-T146+T245</f>
        <v>751605.82047493942</v>
      </c>
      <c r="U253" s="14"/>
      <c r="V253" s="20">
        <f>IF(T$12=0,0,T253/T$12)</f>
        <v>7.2981713005708521E-2</v>
      </c>
      <c r="W253" s="16"/>
      <c r="X253" s="21">
        <f>+P253-T253</f>
        <v>-583573.09047494247</v>
      </c>
      <c r="Y253" s="16"/>
      <c r="Z253" s="20">
        <f>IF(T253=0,0,X253/T253)</f>
        <v>-0.77643503360070154</v>
      </c>
    </row>
    <row r="254" spans="1:26" x14ac:dyDescent="0.25">
      <c r="A254" s="9"/>
      <c r="B254" s="10"/>
      <c r="C254" s="9"/>
      <c r="D254" s="3"/>
      <c r="E254" s="3"/>
      <c r="F254" s="8"/>
      <c r="G254" s="3"/>
      <c r="H254" s="3"/>
      <c r="I254" s="3"/>
      <c r="J254" s="8"/>
      <c r="K254" s="3"/>
      <c r="L254" s="3"/>
      <c r="M254" s="3"/>
      <c r="N254" s="8"/>
      <c r="P254" s="3"/>
      <c r="Q254" s="3"/>
      <c r="R254" s="8"/>
      <c r="S254" s="3"/>
      <c r="T254" s="3"/>
      <c r="U254" s="3"/>
      <c r="V254" s="8"/>
      <c r="W254" s="3"/>
      <c r="X254" s="3"/>
      <c r="Y254" s="3"/>
      <c r="Z254" s="8"/>
    </row>
    <row r="255" spans="1:26" s="23" customFormat="1" x14ac:dyDescent="0.25">
      <c r="A255" s="52"/>
      <c r="B255" s="10" t="s">
        <v>128</v>
      </c>
      <c r="C255" s="10"/>
      <c r="D255" s="4">
        <v>195644.15</v>
      </c>
      <c r="E255" s="4"/>
      <c r="F255" s="12">
        <f>IF(D$12=0,0,D255/D$12)</f>
        <v>0.23244104312774605</v>
      </c>
      <c r="G255" s="4"/>
      <c r="H255" s="4">
        <v>173619</v>
      </c>
      <c r="I255" s="4"/>
      <c r="J255" s="12">
        <f>IF(H$12=0,0,H255/H$12)</f>
        <v>0.23301404775996812</v>
      </c>
      <c r="K255" s="4"/>
      <c r="L255" s="4">
        <f>+D255-H255</f>
        <v>22025.149999999994</v>
      </c>
      <c r="M255" s="4"/>
      <c r="N255" s="12">
        <f>IF(H255=0,0,L255/H255)</f>
        <v>0.12685909952251767</v>
      </c>
      <c r="O255" s="10"/>
      <c r="P255" s="4">
        <v>1490667.48</v>
      </c>
      <c r="Q255" s="4"/>
      <c r="R255" s="12">
        <f>IF(P$12=0,0,P255/P$12)</f>
        <v>0.20920405891056595</v>
      </c>
      <c r="S255" s="4"/>
      <c r="T255" s="4">
        <v>1867036</v>
      </c>
      <c r="U255" s="4"/>
      <c r="V255" s="12">
        <f>IF(T$12=0,0,T255/T$12)</f>
        <v>0.18129115263799273</v>
      </c>
      <c r="W255" s="4"/>
      <c r="X255" s="4">
        <f>+P255-T255</f>
        <v>-376368.52</v>
      </c>
      <c r="Y255" s="4"/>
      <c r="Z255" s="12">
        <f>IF(T255=0,0,X255/T255)</f>
        <v>-0.20158610760585227</v>
      </c>
    </row>
    <row r="256" spans="1:26" x14ac:dyDescent="0.25">
      <c r="A256" s="9"/>
      <c r="B256" s="10"/>
      <c r="C256" s="10"/>
      <c r="D256" s="3"/>
      <c r="E256" s="3"/>
      <c r="F256" s="8"/>
      <c r="G256" s="3"/>
      <c r="H256" s="3"/>
      <c r="I256" s="3"/>
      <c r="J256" s="8"/>
      <c r="K256" s="3"/>
      <c r="L256" s="3"/>
      <c r="M256" s="3"/>
      <c r="N256" s="8"/>
      <c r="O256" s="10"/>
      <c r="P256" s="3"/>
      <c r="Q256" s="3"/>
      <c r="R256" s="8"/>
      <c r="S256" s="3"/>
      <c r="T256" s="3"/>
      <c r="U256" s="3"/>
      <c r="V256" s="8"/>
      <c r="W256" s="3"/>
      <c r="X256" s="3"/>
      <c r="Y256" s="3"/>
      <c r="Z256" s="8"/>
    </row>
    <row r="257" spans="1:26" s="23" customFormat="1" ht="15.75" thickBot="1" x14ac:dyDescent="0.3">
      <c r="A257" s="10"/>
      <c r="B257" s="28" t="s">
        <v>126</v>
      </c>
      <c r="C257" s="28"/>
      <c r="D257" s="31">
        <f>+D253-D255</f>
        <v>-208171.90999999989</v>
      </c>
      <c r="E257" s="14"/>
      <c r="F257" s="33">
        <f>IF(D$12=0,0,D257/D$12)</f>
        <v>-0.2473250332825962</v>
      </c>
      <c r="G257" s="14"/>
      <c r="H257" s="31">
        <f>+H253-H255</f>
        <v>-281190.50220953091</v>
      </c>
      <c r="I257" s="14"/>
      <c r="J257" s="33">
        <f>IF(H$12=0,0,H257/H$12)</f>
        <v>-0.37738575335361368</v>
      </c>
      <c r="K257" s="16"/>
      <c r="L257" s="31">
        <f>D257-H257</f>
        <v>73018.592209531023</v>
      </c>
      <c r="M257" s="16"/>
      <c r="N257" s="33">
        <f>IF(H257=0,0,L257/H257)</f>
        <v>-0.25967659517575292</v>
      </c>
      <c r="O257" s="29"/>
      <c r="P257" s="31">
        <f>+P253-P255</f>
        <v>-1322634.750000003</v>
      </c>
      <c r="Q257" s="14"/>
      <c r="R257" s="33">
        <f>IF(P$12=0,0,P257/P$12)</f>
        <v>-0.18562191895147689</v>
      </c>
      <c r="S257" s="14"/>
      <c r="T257" s="31">
        <f>+T253-T255</f>
        <v>-1115430.1795250606</v>
      </c>
      <c r="U257" s="14"/>
      <c r="V257" s="33">
        <f>IF(T$12=0,0,T257/T$12)</f>
        <v>-0.10830943963228422</v>
      </c>
      <c r="W257" s="16"/>
      <c r="X257" s="31">
        <f>P257-T257</f>
        <v>-207204.57047494245</v>
      </c>
      <c r="Y257" s="16"/>
      <c r="Z257" s="33">
        <f>IF(T257=0,0,X257/T257)</f>
        <v>0.18576202641672127</v>
      </c>
    </row>
    <row r="258" spans="1:26" ht="15.75" thickTop="1" x14ac:dyDescent="0.25">
      <c r="A258" s="9"/>
      <c r="B258" s="9"/>
      <c r="C258" s="9"/>
      <c r="D258" s="3"/>
      <c r="E258" s="3"/>
      <c r="F258" s="8"/>
      <c r="G258" s="3"/>
      <c r="H258" s="3"/>
      <c r="I258" s="3"/>
      <c r="J258" s="8"/>
      <c r="K258" s="3"/>
      <c r="L258" s="3"/>
      <c r="M258" s="3"/>
      <c r="N258" s="8"/>
      <c r="P258" s="3"/>
      <c r="Q258" s="3"/>
      <c r="R258" s="8"/>
      <c r="S258" s="3"/>
      <c r="T258" s="3"/>
      <c r="U258" s="3"/>
      <c r="V258" s="8"/>
      <c r="W258" s="3"/>
      <c r="X258" s="3"/>
      <c r="Y258" s="3"/>
      <c r="Z258" s="8"/>
    </row>
    <row r="259" spans="1:26" x14ac:dyDescent="0.25">
      <c r="A259" s="9"/>
      <c r="B259" s="9"/>
      <c r="C259" s="9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ht="15.75" thickBot="1" x14ac:dyDescent="0.3">
      <c r="A260" s="10"/>
      <c r="B260" s="28" t="s">
        <v>294</v>
      </c>
      <c r="C260" s="28"/>
      <c r="D260" s="34">
        <f>SUM(D257:D259)</f>
        <v>-208171.90999999989</v>
      </c>
      <c r="E260" s="14"/>
      <c r="F260" s="35">
        <f>IF(D$12=0,0,D260/D$12)</f>
        <v>-0.2473250332825962</v>
      </c>
      <c r="G260" s="14"/>
      <c r="H260" s="34">
        <f>SUM(H257:H259)</f>
        <v>-281190.50220953091</v>
      </c>
      <c r="I260" s="14"/>
      <c r="J260" s="35">
        <f>IF(H$12=0,0,H260/H$12)</f>
        <v>-0.37738575335361368</v>
      </c>
      <c r="K260" s="16"/>
      <c r="L260" s="34">
        <f>+D260-H260</f>
        <v>73018.592209531023</v>
      </c>
      <c r="M260" s="16"/>
      <c r="N260" s="35">
        <f>IF(H260=0,0,L260/H260)</f>
        <v>-0.25967659517575292</v>
      </c>
      <c r="O260" s="29"/>
      <c r="P260" s="34">
        <f>SUM(P257:P259)</f>
        <v>-1322634.750000003</v>
      </c>
      <c r="Q260" s="14"/>
      <c r="R260" s="35">
        <f>IF(P$12=0,0,P260/P$12)</f>
        <v>-0.18562191895147689</v>
      </c>
      <c r="S260" s="14"/>
      <c r="T260" s="34">
        <f>SUM(T257:T259)</f>
        <v>-1115430.1795250606</v>
      </c>
      <c r="U260" s="14"/>
      <c r="V260" s="35">
        <f>IF(T$12=0,0,T260/T$12)</f>
        <v>-0.10830943963228422</v>
      </c>
      <c r="W260" s="16"/>
      <c r="X260" s="34">
        <f>+P260-T260</f>
        <v>-207204.57047494245</v>
      </c>
      <c r="Y260" s="16"/>
      <c r="Z260" s="35">
        <f>IF(T260=0,0,X260/T260)</f>
        <v>0.18576202641672127</v>
      </c>
    </row>
    <row r="261" spans="1:26" ht="15.75" thickTop="1" x14ac:dyDescent="0.25">
      <c r="A261" s="9"/>
      <c r="C261" s="9"/>
      <c r="D261" s="18"/>
      <c r="E261" s="18"/>
      <c r="G261" s="18"/>
      <c r="H261" s="18"/>
      <c r="I261" s="18"/>
      <c r="J261" s="43"/>
      <c r="K261" s="18"/>
      <c r="L261" s="18"/>
      <c r="M261" s="18"/>
      <c r="P261" s="18"/>
      <c r="Q261" s="18"/>
      <c r="R261" s="43"/>
      <c r="S261" s="18"/>
      <c r="T261" s="18"/>
      <c r="U261" s="18"/>
      <c r="V261" s="43"/>
      <c r="W261" s="18"/>
      <c r="X261" s="18"/>
    </row>
    <row r="262" spans="1:26" x14ac:dyDescent="0.25">
      <c r="A262" s="9"/>
      <c r="B262" s="62">
        <v>44330.005821412036</v>
      </c>
      <c r="D262" s="18"/>
      <c r="E262" s="18"/>
      <c r="G262" s="18"/>
      <c r="H262" s="18"/>
      <c r="I262" s="18"/>
      <c r="J262" s="43"/>
      <c r="K262" s="18"/>
      <c r="L262" s="18"/>
      <c r="M262" s="18"/>
      <c r="P262" s="18"/>
      <c r="Q262" s="18"/>
      <c r="R262" s="43"/>
      <c r="S262" s="18"/>
      <c r="T262" s="18"/>
      <c r="U262" s="18"/>
      <c r="V262" s="43"/>
      <c r="W262" s="18"/>
      <c r="X262" s="18"/>
    </row>
    <row r="263" spans="1:26" x14ac:dyDescent="0.25">
      <c r="A263" s="9"/>
      <c r="B263" s="56" t="s">
        <v>56</v>
      </c>
      <c r="D263" s="18"/>
      <c r="E263" s="18"/>
      <c r="G263" s="18"/>
      <c r="H263" s="18"/>
      <c r="I263" s="18"/>
      <c r="J263" s="43"/>
      <c r="K263" s="18"/>
      <c r="L263" s="18"/>
      <c r="M263" s="18"/>
      <c r="P263" s="18"/>
      <c r="Q263" s="18"/>
      <c r="R263" s="43"/>
      <c r="S263" s="18"/>
      <c r="T263" s="18"/>
      <c r="U263" s="18"/>
      <c r="V263" s="43"/>
      <c r="W263" s="18"/>
      <c r="X263" s="18"/>
    </row>
    <row r="264" spans="1:26" x14ac:dyDescent="0.25">
      <c r="A264" s="9"/>
      <c r="B264" s="55"/>
      <c r="D264" s="18"/>
      <c r="E264" s="18"/>
      <c r="G264" s="18"/>
      <c r="H264" s="18"/>
      <c r="I264" s="18"/>
      <c r="J264" s="43"/>
      <c r="K264" s="18"/>
      <c r="L264" s="18"/>
      <c r="M264" s="18"/>
      <c r="P264" s="18"/>
      <c r="Q264" s="18"/>
      <c r="R264" s="43"/>
      <c r="S264" s="18"/>
      <c r="T264" s="18"/>
      <c r="U264" s="18"/>
      <c r="V264" s="43"/>
      <c r="W264" s="18"/>
      <c r="X264" s="18"/>
    </row>
    <row r="265" spans="1:26" x14ac:dyDescent="0.25">
      <c r="D265" s="18"/>
      <c r="E265" s="18"/>
      <c r="G265" s="18"/>
      <c r="H265" s="18"/>
      <c r="I265" s="18"/>
      <c r="J265" s="43"/>
      <c r="K265" s="18"/>
      <c r="L265" s="18"/>
      <c r="M265" s="18"/>
      <c r="P265" s="18"/>
      <c r="Q265" s="18"/>
      <c r="R265" s="43"/>
      <c r="S265" s="18"/>
      <c r="T265" s="18"/>
      <c r="U265" s="18"/>
      <c r="V265" s="43"/>
      <c r="W265" s="18"/>
      <c r="X265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","301", " - ", "Bookstore Operations")</f>
        <v>Department 301 - Bookstore Operations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"5501", " - ", "FREIGHT-IN-NEW TEXT")</f>
        <v xml:space="preserve">          5501 - FREIGHT-IN-NEW TEXT</v>
      </c>
      <c r="C15" s="11"/>
      <c r="D15" s="2">
        <v>0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9"/>
      <c r="P17" s="21">
        <f>P12-P14</f>
        <v>0</v>
      </c>
      <c r="Q17" s="14"/>
      <c r="R17" s="20">
        <f>IF(P$12=0,0,P17/P$12)</f>
        <v>0</v>
      </c>
      <c r="S17" s="14"/>
      <c r="T17" s="21">
        <f>T12-T14</f>
        <v>0</v>
      </c>
      <c r="U17" s="14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106222.93</v>
      </c>
      <c r="E19" s="22"/>
      <c r="F19" s="32">
        <f t="shared" ref="F19:F30" si="8">IF(D$12=0,0,D19/D$12)</f>
        <v>0</v>
      </c>
      <c r="G19" s="22"/>
      <c r="H19" s="22">
        <f>SUM(OSRRefH22x_0)</f>
        <v>126869.42440175192</v>
      </c>
      <c r="I19" s="22"/>
      <c r="J19" s="32">
        <f t="shared" ref="J19:J30" si="9">IF(H$12=0,0,H19/H$12)</f>
        <v>0</v>
      </c>
      <c r="K19" s="4"/>
      <c r="L19" s="22">
        <f t="shared" ref="L19:L30" si="10">+D19-H19</f>
        <v>-20646.49440175193</v>
      </c>
      <c r="M19" s="4"/>
      <c r="N19" s="32">
        <f t="shared" ref="N19:N30" si="11">IF(H19=0,0,L19/H19)</f>
        <v>-0.16273814198424649</v>
      </c>
      <c r="O19" s="10"/>
      <c r="P19" s="22">
        <f>SUM(OSRRefP22x_0)</f>
        <v>1201638.8499999999</v>
      </c>
      <c r="Q19" s="22"/>
      <c r="R19" s="32">
        <f t="shared" ref="R19:R30" si="12">IF(P$12=0,0,P19/P$12)</f>
        <v>0</v>
      </c>
      <c r="S19" s="22"/>
      <c r="T19" s="22">
        <f>SUM(OSRRefT22x_0)</f>
        <v>1444406.114249107</v>
      </c>
      <c r="U19" s="22"/>
      <c r="V19" s="32">
        <f t="shared" ref="V19:V30" si="13">IF(T$12=0,0,T19/T$12)</f>
        <v>0</v>
      </c>
      <c r="W19" s="4"/>
      <c r="X19" s="22">
        <f t="shared" ref="X19:X30" si="14">+P19-T19</f>
        <v>-242767.2642491071</v>
      </c>
      <c r="Y19" s="4"/>
      <c r="Z19" s="32">
        <f t="shared" ref="Z19:Z30" si="15">IF(T19=0,0,X19/T19)</f>
        <v>-0.16807410454317606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13022.909999999998</v>
      </c>
      <c r="E20" s="1"/>
      <c r="F20" s="5">
        <f t="shared" si="8"/>
        <v>0</v>
      </c>
      <c r="G20" s="1"/>
      <c r="H20" s="1">
        <f>SUM(OSRRefH22_0x_0)</f>
        <v>9101.57415175192</v>
      </c>
      <c r="I20" s="1"/>
      <c r="J20" s="5">
        <f t="shared" si="9"/>
        <v>0</v>
      </c>
      <c r="K20" s="1"/>
      <c r="L20" s="1">
        <f t="shared" si="10"/>
        <v>3921.335848248078</v>
      </c>
      <c r="M20" s="1"/>
      <c r="N20" s="5">
        <f t="shared" si="11"/>
        <v>0.43084149871956801</v>
      </c>
      <c r="O20" s="13"/>
      <c r="P20" s="1">
        <f>SUM(OSRRefP22_0x_0)</f>
        <v>98326.489999999976</v>
      </c>
      <c r="Q20" s="1"/>
      <c r="R20" s="5">
        <f t="shared" si="12"/>
        <v>0</v>
      </c>
      <c r="S20" s="1"/>
      <c r="T20" s="1">
        <f>SUM(OSRRefT22_0x_0)</f>
        <v>88947.561349106894</v>
      </c>
      <c r="U20" s="1"/>
      <c r="V20" s="5">
        <f t="shared" si="13"/>
        <v>0</v>
      </c>
      <c r="W20" s="1"/>
      <c r="X20" s="1">
        <f t="shared" si="14"/>
        <v>9378.9286508930818</v>
      </c>
      <c r="Y20" s="1"/>
      <c r="Z20" s="5">
        <f t="shared" si="15"/>
        <v>0.10544334784044368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2383.34</v>
      </c>
      <c r="E21" s="2"/>
      <c r="F21" s="6">
        <f t="shared" si="8"/>
        <v>0</v>
      </c>
      <c r="G21" s="2"/>
      <c r="H21" s="7">
        <v>2026.3707149249999</v>
      </c>
      <c r="I21" s="2"/>
      <c r="J21" s="6">
        <f t="shared" si="9"/>
        <v>0</v>
      </c>
      <c r="K21" s="2"/>
      <c r="L21" s="7">
        <f t="shared" si="10"/>
        <v>356.96928507500024</v>
      </c>
      <c r="M21" s="2"/>
      <c r="N21" s="6">
        <f t="shared" si="11"/>
        <v>0.17616188511104316</v>
      </c>
      <c r="O21" s="11"/>
      <c r="P21" s="7">
        <v>23262.799999999999</v>
      </c>
      <c r="Q21" s="2"/>
      <c r="R21" s="6">
        <f t="shared" si="12"/>
        <v>0</v>
      </c>
      <c r="S21" s="2"/>
      <c r="T21" s="7">
        <v>20921.249541929999</v>
      </c>
      <c r="U21" s="2"/>
      <c r="V21" s="6">
        <f t="shared" si="13"/>
        <v>0</v>
      </c>
      <c r="W21" s="2"/>
      <c r="X21" s="7">
        <f t="shared" si="14"/>
        <v>2341.5504580699999</v>
      </c>
      <c r="Y21" s="2"/>
      <c r="Z21" s="6">
        <f t="shared" si="15"/>
        <v>0.11192211313081973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459.67</v>
      </c>
      <c r="E22" s="2"/>
      <c r="F22" s="6">
        <f t="shared" si="8"/>
        <v>0</v>
      </c>
      <c r="G22" s="2"/>
      <c r="H22" s="7">
        <v>730.36450624999998</v>
      </c>
      <c r="I22" s="2"/>
      <c r="J22" s="6">
        <f t="shared" si="9"/>
        <v>0</v>
      </c>
      <c r="K22" s="2"/>
      <c r="L22" s="7">
        <f t="shared" si="10"/>
        <v>-270.69450624999996</v>
      </c>
      <c r="M22" s="2"/>
      <c r="N22" s="6">
        <f t="shared" si="11"/>
        <v>-0.37062932814172467</v>
      </c>
      <c r="O22" s="11"/>
      <c r="P22" s="7">
        <v>6874.05</v>
      </c>
      <c r="Q22" s="2"/>
      <c r="R22" s="6">
        <f t="shared" si="12"/>
        <v>0</v>
      </c>
      <c r="S22" s="2"/>
      <c r="T22" s="7">
        <v>8522.3260134999891</v>
      </c>
      <c r="U22" s="2"/>
      <c r="V22" s="6">
        <f t="shared" si="13"/>
        <v>0</v>
      </c>
      <c r="W22" s="2"/>
      <c r="X22" s="7">
        <f t="shared" si="14"/>
        <v>-1648.2760134999889</v>
      </c>
      <c r="Y22" s="2"/>
      <c r="Z22" s="6">
        <f t="shared" si="15"/>
        <v>-0.19340682472003523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5096.28</v>
      </c>
      <c r="E23" s="2"/>
      <c r="F23" s="6">
        <f t="shared" si="8"/>
        <v>0</v>
      </c>
      <c r="G23" s="2"/>
      <c r="H23" s="7">
        <v>3675.5769230769201</v>
      </c>
      <c r="I23" s="2"/>
      <c r="J23" s="6">
        <f t="shared" si="9"/>
        <v>0</v>
      </c>
      <c r="K23" s="2"/>
      <c r="L23" s="7">
        <f t="shared" si="10"/>
        <v>1420.7030769230796</v>
      </c>
      <c r="M23" s="2"/>
      <c r="N23" s="6">
        <f t="shared" si="11"/>
        <v>0.38652519227750848</v>
      </c>
      <c r="O23" s="11"/>
      <c r="P23" s="7">
        <v>30236.85</v>
      </c>
      <c r="Q23" s="2"/>
      <c r="R23" s="6">
        <f t="shared" si="12"/>
        <v>0</v>
      </c>
      <c r="S23" s="2"/>
      <c r="T23" s="7">
        <v>34838.0769230769</v>
      </c>
      <c r="U23" s="2"/>
      <c r="V23" s="6">
        <f t="shared" si="13"/>
        <v>0</v>
      </c>
      <c r="W23" s="2"/>
      <c r="X23" s="7">
        <f t="shared" si="14"/>
        <v>-4601.2269230769016</v>
      </c>
      <c r="Y23" s="2"/>
      <c r="Z23" s="6">
        <f t="shared" si="15"/>
        <v>-0.13207465306527949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64.599999999999994</v>
      </c>
      <c r="E24" s="2"/>
      <c r="F24" s="6">
        <f t="shared" si="8"/>
        <v>0</v>
      </c>
      <c r="G24" s="2"/>
      <c r="H24" s="7">
        <v>102.64582249999999</v>
      </c>
      <c r="I24" s="2"/>
      <c r="J24" s="6">
        <f t="shared" si="9"/>
        <v>0</v>
      </c>
      <c r="K24" s="2"/>
      <c r="L24" s="7">
        <f t="shared" si="10"/>
        <v>-38.0458225</v>
      </c>
      <c r="M24" s="2"/>
      <c r="N24" s="6">
        <f t="shared" si="11"/>
        <v>-0.37065144565430319</v>
      </c>
      <c r="O24" s="11"/>
      <c r="P24" s="7">
        <v>1069</v>
      </c>
      <c r="Q24" s="2"/>
      <c r="R24" s="6">
        <f t="shared" si="12"/>
        <v>0</v>
      </c>
      <c r="S24" s="2"/>
      <c r="T24" s="7">
        <v>1197.7323045999999</v>
      </c>
      <c r="U24" s="2"/>
      <c r="V24" s="6">
        <f t="shared" si="13"/>
        <v>0</v>
      </c>
      <c r="W24" s="2"/>
      <c r="X24" s="7">
        <f t="shared" si="14"/>
        <v>-128.73230459999991</v>
      </c>
      <c r="Y24" s="2"/>
      <c r="Z24" s="6">
        <f t="shared" si="15"/>
        <v>-0.10748003047558438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1012.09</v>
      </c>
      <c r="E25" s="2"/>
      <c r="F25" s="6">
        <f t="shared" si="8"/>
        <v>0</v>
      </c>
      <c r="G25" s="2"/>
      <c r="H25" s="7">
        <v>937.66853500000002</v>
      </c>
      <c r="I25" s="2"/>
      <c r="J25" s="6">
        <f t="shared" si="9"/>
        <v>0</v>
      </c>
      <c r="K25" s="2"/>
      <c r="L25" s="7">
        <f t="shared" si="10"/>
        <v>74.421465000000012</v>
      </c>
      <c r="M25" s="2"/>
      <c r="N25" s="6">
        <f t="shared" si="11"/>
        <v>7.9368627848859202E-2</v>
      </c>
      <c r="O25" s="11"/>
      <c r="P25" s="7">
        <v>12562.86</v>
      </c>
      <c r="Q25" s="2"/>
      <c r="R25" s="6">
        <f t="shared" si="12"/>
        <v>0</v>
      </c>
      <c r="S25" s="2"/>
      <c r="T25" s="7">
        <v>8131.9175660000001</v>
      </c>
      <c r="U25" s="2"/>
      <c r="V25" s="6">
        <f t="shared" si="13"/>
        <v>0</v>
      </c>
      <c r="W25" s="2"/>
      <c r="X25" s="7">
        <f t="shared" si="14"/>
        <v>4430.9424340000005</v>
      </c>
      <c r="Y25" s="2"/>
      <c r="Z25" s="6">
        <f t="shared" si="15"/>
        <v>0.54488285180435392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401.9</v>
      </c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401.9</v>
      </c>
      <c r="Y26" s="2"/>
      <c r="Z26" s="6">
        <f t="shared" si="15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113.47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113.47</v>
      </c>
      <c r="M27" s="2"/>
      <c r="N27" s="6">
        <f t="shared" si="11"/>
        <v>0</v>
      </c>
      <c r="O27" s="11"/>
      <c r="P27" s="7">
        <v>1005.15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1005.15</v>
      </c>
      <c r="Y27" s="2"/>
      <c r="Z27" s="6">
        <f t="shared" si="15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1868.38</v>
      </c>
      <c r="E28" s="2"/>
      <c r="F28" s="6">
        <f t="shared" si="8"/>
        <v>0</v>
      </c>
      <c r="G28" s="2"/>
      <c r="H28" s="7">
        <v>695.15612499999997</v>
      </c>
      <c r="I28" s="2"/>
      <c r="J28" s="6">
        <f t="shared" si="9"/>
        <v>0</v>
      </c>
      <c r="K28" s="2"/>
      <c r="L28" s="7">
        <f t="shared" si="10"/>
        <v>1173.2238750000001</v>
      </c>
      <c r="M28" s="2"/>
      <c r="N28" s="6">
        <f t="shared" si="11"/>
        <v>1.6877127781906549</v>
      </c>
      <c r="O28" s="11"/>
      <c r="P28" s="7">
        <v>12201.42</v>
      </c>
      <c r="Q28" s="2"/>
      <c r="R28" s="6">
        <f t="shared" si="12"/>
        <v>0</v>
      </c>
      <c r="S28" s="2"/>
      <c r="T28" s="7">
        <v>6047.85905</v>
      </c>
      <c r="U28" s="2"/>
      <c r="V28" s="6">
        <f t="shared" si="13"/>
        <v>0</v>
      </c>
      <c r="W28" s="2"/>
      <c r="X28" s="7">
        <f t="shared" si="14"/>
        <v>6153.56095</v>
      </c>
      <c r="Y28" s="2"/>
      <c r="Z28" s="6">
        <f t="shared" si="15"/>
        <v>1.0174775733240675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1679.98</v>
      </c>
      <c r="E29" s="2"/>
      <c r="F29" s="6">
        <f t="shared" si="8"/>
        <v>0</v>
      </c>
      <c r="G29" s="2"/>
      <c r="H29" s="7">
        <v>933.79152499999998</v>
      </c>
      <c r="I29" s="2"/>
      <c r="J29" s="6">
        <f t="shared" si="9"/>
        <v>0</v>
      </c>
      <c r="K29" s="2"/>
      <c r="L29" s="7">
        <f t="shared" si="10"/>
        <v>746.18847500000004</v>
      </c>
      <c r="M29" s="2"/>
      <c r="N29" s="6">
        <f t="shared" si="11"/>
        <v>0.79909536017688754</v>
      </c>
      <c r="O29" s="11"/>
      <c r="P29" s="7">
        <v>8615.06</v>
      </c>
      <c r="Q29" s="2"/>
      <c r="R29" s="6">
        <f t="shared" si="12"/>
        <v>0</v>
      </c>
      <c r="S29" s="2"/>
      <c r="T29" s="7">
        <v>9288.3999500000009</v>
      </c>
      <c r="U29" s="2"/>
      <c r="V29" s="6">
        <f t="shared" si="13"/>
        <v>0</v>
      </c>
      <c r="W29" s="2"/>
      <c r="X29" s="7">
        <f t="shared" si="14"/>
        <v>-673.33995000000141</v>
      </c>
      <c r="Y29" s="2"/>
      <c r="Z29" s="6">
        <f t="shared" si="15"/>
        <v>-7.2492566386528318E-2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345.1</v>
      </c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345.1</v>
      </c>
      <c r="M30" s="2"/>
      <c r="N30" s="6">
        <f t="shared" si="11"/>
        <v>0</v>
      </c>
      <c r="O30" s="11"/>
      <c r="P30" s="7">
        <v>2097.4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2097.4</v>
      </c>
      <c r="Y30" s="2"/>
      <c r="Z30" s="6">
        <f t="shared" si="15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36731.760000000002</v>
      </c>
      <c r="E31" s="1"/>
      <c r="F31" s="5">
        <f t="shared" ref="F31:F41" si="16">IF(D$12=0,0,D31/D$12)</f>
        <v>0</v>
      </c>
      <c r="G31" s="1"/>
      <c r="H31" s="1">
        <f>SUM(OSRRefH22_1x_0)</f>
        <v>38138.85025000001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-1407.0902500000084</v>
      </c>
      <c r="M31" s="1"/>
      <c r="N31" s="5">
        <f t="shared" ref="N31:N41" si="19">IF(H31=0,0,L31/H31)</f>
        <v>-3.6893882242819004E-2</v>
      </c>
      <c r="O31" s="13"/>
      <c r="P31" s="1">
        <f>SUM(OSRRefP22_1x_0)</f>
        <v>414704.38</v>
      </c>
      <c r="Q31" s="1"/>
      <c r="R31" s="5">
        <f t="shared" ref="R31:R41" si="20">IF(P$12=0,0,P31/P$12)</f>
        <v>0</v>
      </c>
      <c r="S31" s="1"/>
      <c r="T31" s="1">
        <f>SUM(OSRRefT22_1x_0)</f>
        <v>449010.55290000001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-34306.172900000005</v>
      </c>
      <c r="Y31" s="1"/>
      <c r="Z31" s="5">
        <f t="shared" ref="Z31:Z41" si="23">IF(T31=0,0,X31/T31)</f>
        <v>-7.6403934558839634E-2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4416.46</v>
      </c>
      <c r="E32" s="2"/>
      <c r="F32" s="6">
        <f t="shared" si="16"/>
        <v>0</v>
      </c>
      <c r="G32" s="2"/>
      <c r="H32" s="7">
        <v>4759.6153846153902</v>
      </c>
      <c r="I32" s="2"/>
      <c r="J32" s="6">
        <f t="shared" si="17"/>
        <v>0</v>
      </c>
      <c r="K32" s="2"/>
      <c r="L32" s="7">
        <f t="shared" si="18"/>
        <v>-343.15538461539018</v>
      </c>
      <c r="M32" s="2"/>
      <c r="N32" s="6">
        <f t="shared" si="19"/>
        <v>-7.209729292929401E-2</v>
      </c>
      <c r="O32" s="11"/>
      <c r="P32" s="7">
        <v>43504.11</v>
      </c>
      <c r="Q32" s="2"/>
      <c r="R32" s="6">
        <f t="shared" si="20"/>
        <v>0</v>
      </c>
      <c r="S32" s="2"/>
      <c r="T32" s="7">
        <v>41884.615384615397</v>
      </c>
      <c r="U32" s="2"/>
      <c r="V32" s="6">
        <f t="shared" si="21"/>
        <v>0</v>
      </c>
      <c r="W32" s="2"/>
      <c r="X32" s="7">
        <f t="shared" si="22"/>
        <v>1619.4946153846031</v>
      </c>
      <c r="Y32" s="2"/>
      <c r="Z32" s="6">
        <f t="shared" si="23"/>
        <v>3.8665619834710438E-2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11599.1</v>
      </c>
      <c r="E33" s="2"/>
      <c r="F33" s="6">
        <f t="shared" si="16"/>
        <v>0</v>
      </c>
      <c r="G33" s="2"/>
      <c r="H33" s="7">
        <v>5053.1948653846202</v>
      </c>
      <c r="I33" s="2"/>
      <c r="J33" s="6">
        <f t="shared" si="17"/>
        <v>0</v>
      </c>
      <c r="K33" s="2"/>
      <c r="L33" s="7">
        <f t="shared" si="18"/>
        <v>6545.9051346153801</v>
      </c>
      <c r="M33" s="2"/>
      <c r="N33" s="6">
        <f t="shared" si="19"/>
        <v>1.2953993085554882</v>
      </c>
      <c r="O33" s="11"/>
      <c r="P33" s="7">
        <v>94263.09</v>
      </c>
      <c r="Q33" s="2"/>
      <c r="R33" s="6">
        <f t="shared" si="20"/>
        <v>0</v>
      </c>
      <c r="S33" s="2"/>
      <c r="T33" s="7">
        <v>43216.847515384601</v>
      </c>
      <c r="U33" s="2"/>
      <c r="V33" s="6">
        <f t="shared" si="21"/>
        <v>0</v>
      </c>
      <c r="W33" s="2"/>
      <c r="X33" s="7">
        <f t="shared" si="22"/>
        <v>51046.242484615395</v>
      </c>
      <c r="Y33" s="2"/>
      <c r="Z33" s="6">
        <f t="shared" si="23"/>
        <v>1.181165342206963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>
        <v>3582.6</v>
      </c>
      <c r="E35" s="2"/>
      <c r="F35" s="6">
        <f t="shared" si="16"/>
        <v>0</v>
      </c>
      <c r="G35" s="2"/>
      <c r="H35" s="7">
        <v>15325</v>
      </c>
      <c r="I35" s="2"/>
      <c r="J35" s="6">
        <f t="shared" si="17"/>
        <v>0</v>
      </c>
      <c r="K35" s="2"/>
      <c r="L35" s="7">
        <f t="shared" si="18"/>
        <v>-11742.4</v>
      </c>
      <c r="M35" s="2"/>
      <c r="N35" s="6">
        <f t="shared" si="19"/>
        <v>-0.76622512234910278</v>
      </c>
      <c r="O35" s="11"/>
      <c r="P35" s="7">
        <v>28945.25</v>
      </c>
      <c r="Q35" s="2"/>
      <c r="R35" s="6">
        <f t="shared" si="20"/>
        <v>0</v>
      </c>
      <c r="S35" s="2"/>
      <c r="T35" s="7">
        <v>133690</v>
      </c>
      <c r="U35" s="2"/>
      <c r="V35" s="6">
        <f t="shared" si="21"/>
        <v>0</v>
      </c>
      <c r="W35" s="2"/>
      <c r="X35" s="7">
        <f t="shared" si="22"/>
        <v>-104744.75</v>
      </c>
      <c r="Y35" s="2"/>
      <c r="Z35" s="6">
        <f t="shared" si="23"/>
        <v>-0.78348978981225226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>
        <v>6095.59</v>
      </c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6095.59</v>
      </c>
      <c r="M36" s="2"/>
      <c r="N36" s="6">
        <f t="shared" si="19"/>
        <v>0</v>
      </c>
      <c r="O36" s="11"/>
      <c r="P36" s="7">
        <v>71402.38</v>
      </c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71402.38</v>
      </c>
      <c r="Y36" s="2"/>
      <c r="Z36" s="6">
        <f t="shared" si="23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>
        <v>686</v>
      </c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686</v>
      </c>
      <c r="M37" s="2"/>
      <c r="N37" s="6">
        <f t="shared" si="19"/>
        <v>0</v>
      </c>
      <c r="O37" s="11"/>
      <c r="P37" s="7">
        <v>11466.39</v>
      </c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11466.39</v>
      </c>
      <c r="Y37" s="2"/>
      <c r="Z37" s="6">
        <f t="shared" si="23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>
        <v>10352.01</v>
      </c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10352.01</v>
      </c>
      <c r="M38" s="2"/>
      <c r="N38" s="6">
        <f t="shared" si="19"/>
        <v>0</v>
      </c>
      <c r="O38" s="11"/>
      <c r="P38" s="7">
        <v>165123.16</v>
      </c>
      <c r="Q38" s="2"/>
      <c r="R38" s="6">
        <f t="shared" si="20"/>
        <v>0</v>
      </c>
      <c r="S38" s="2"/>
      <c r="T38" s="7">
        <v>42926</v>
      </c>
      <c r="U38" s="2"/>
      <c r="V38" s="6">
        <f t="shared" si="21"/>
        <v>0</v>
      </c>
      <c r="W38" s="2"/>
      <c r="X38" s="7">
        <f t="shared" si="22"/>
        <v>122197.16</v>
      </c>
      <c r="Y38" s="2"/>
      <c r="Z38" s="6">
        <f t="shared" si="23"/>
        <v>2.8466933793039186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6"/>
        <v>0</v>
      </c>
      <c r="G39" s="2"/>
      <c r="H39" s="7">
        <v>13001.04</v>
      </c>
      <c r="I39" s="2"/>
      <c r="J39" s="6">
        <f t="shared" si="17"/>
        <v>0</v>
      </c>
      <c r="K39" s="2"/>
      <c r="L39" s="7">
        <f t="shared" si="18"/>
        <v>-13001.04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187293.09</v>
      </c>
      <c r="U39" s="2"/>
      <c r="V39" s="6">
        <f t="shared" si="21"/>
        <v>0</v>
      </c>
      <c r="W39" s="2"/>
      <c r="X39" s="7">
        <f t="shared" si="22"/>
        <v>-187293.09</v>
      </c>
      <c r="Y39" s="2"/>
      <c r="Z39" s="6">
        <f t="shared" si="23"/>
        <v>-1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300</v>
      </c>
      <c r="E42" s="1"/>
      <c r="F42" s="5">
        <f t="shared" ref="F42:F46" si="24">IF(D$12=0,0,D42/D$12)</f>
        <v>0</v>
      </c>
      <c r="G42" s="1"/>
      <c r="H42" s="1">
        <f>SUM(OSRRefH22_2x_0)</f>
        <v>0</v>
      </c>
      <c r="I42" s="1"/>
      <c r="J42" s="5">
        <f t="shared" ref="J42:J46" si="25">IF(H$12=0,0,H42/H$12)</f>
        <v>0</v>
      </c>
      <c r="K42" s="1"/>
      <c r="L42" s="1">
        <f t="shared" ref="L42:L46" si="26">+D42-H42</f>
        <v>300</v>
      </c>
      <c r="M42" s="1"/>
      <c r="N42" s="5">
        <f t="shared" ref="N42:N46" si="27">IF(H42=0,0,L42/H42)</f>
        <v>0</v>
      </c>
      <c r="O42" s="13"/>
      <c r="P42" s="1">
        <f>SUM(OSRRefP22_2x_0)</f>
        <v>525</v>
      </c>
      <c r="Q42" s="1"/>
      <c r="R42" s="5">
        <f t="shared" ref="R42:R46" si="28">IF(P$12=0,0,P42/P$12)</f>
        <v>0</v>
      </c>
      <c r="S42" s="1"/>
      <c r="T42" s="1">
        <f>SUM(OSRRefT22_2x_0)</f>
        <v>0</v>
      </c>
      <c r="U42" s="1"/>
      <c r="V42" s="5">
        <f t="shared" ref="V42:V46" si="29">IF(T$12=0,0,T42/T$12)</f>
        <v>0</v>
      </c>
      <c r="W42" s="1"/>
      <c r="X42" s="1">
        <f t="shared" ref="X42:X46" si="30">+P42-T42</f>
        <v>525</v>
      </c>
      <c r="Y42" s="1"/>
      <c r="Z42" s="5">
        <f t="shared" ref="Z42:Z46" si="31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>
        <v>300</v>
      </c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300</v>
      </c>
      <c r="M43" s="2"/>
      <c r="N43" s="6">
        <f t="shared" si="27"/>
        <v>0</v>
      </c>
      <c r="O43" s="11"/>
      <c r="P43" s="7">
        <v>525</v>
      </c>
      <c r="Q43" s="2"/>
      <c r="R43" s="6">
        <f t="shared" si="28"/>
        <v>0</v>
      </c>
      <c r="S43" s="2"/>
      <c r="T43" s="7"/>
      <c r="U43" s="2"/>
      <c r="V43" s="6">
        <f t="shared" si="29"/>
        <v>0</v>
      </c>
      <c r="W43" s="2"/>
      <c r="X43" s="7">
        <f t="shared" si="30"/>
        <v>525</v>
      </c>
      <c r="Y43" s="2"/>
      <c r="Z43" s="6">
        <f t="shared" si="31"/>
        <v>0</v>
      </c>
    </row>
    <row r="44" spans="1:26" s="25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-1.51</v>
      </c>
      <c r="E44" s="1"/>
      <c r="F44" s="5">
        <f t="shared" si="24"/>
        <v>0</v>
      </c>
      <c r="G44" s="1"/>
      <c r="H44" s="1">
        <f>SUM(OSRRefH22_3x_0)</f>
        <v>100</v>
      </c>
      <c r="I44" s="1"/>
      <c r="J44" s="5">
        <f t="shared" si="25"/>
        <v>0</v>
      </c>
      <c r="K44" s="1"/>
      <c r="L44" s="1">
        <f t="shared" si="26"/>
        <v>-101.51</v>
      </c>
      <c r="M44" s="1"/>
      <c r="N44" s="5">
        <f t="shared" si="27"/>
        <v>-1.0151000000000001</v>
      </c>
      <c r="O44" s="13"/>
      <c r="P44" s="1">
        <f>SUM(OSRRefP22_3x_0)</f>
        <v>5204.7</v>
      </c>
      <c r="Q44" s="1"/>
      <c r="R44" s="5">
        <f t="shared" si="28"/>
        <v>0</v>
      </c>
      <c r="S44" s="1"/>
      <c r="T44" s="1">
        <f>SUM(OSRRefT22_3x_0)</f>
        <v>1000</v>
      </c>
      <c r="U44" s="1"/>
      <c r="V44" s="5">
        <f t="shared" si="29"/>
        <v>0</v>
      </c>
      <c r="W44" s="1"/>
      <c r="X44" s="1">
        <f t="shared" si="30"/>
        <v>4204.7</v>
      </c>
      <c r="Y44" s="1"/>
      <c r="Z44" s="5">
        <f t="shared" si="31"/>
        <v>4.2046999999999999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7">
        <v>-1.51</v>
      </c>
      <c r="E45" s="2"/>
      <c r="F45" s="6">
        <f t="shared" si="24"/>
        <v>0</v>
      </c>
      <c r="G45" s="2"/>
      <c r="H45" s="7">
        <v>50</v>
      </c>
      <c r="I45" s="2"/>
      <c r="J45" s="6">
        <f t="shared" si="25"/>
        <v>0</v>
      </c>
      <c r="K45" s="2"/>
      <c r="L45" s="7">
        <f t="shared" si="26"/>
        <v>-51.51</v>
      </c>
      <c r="M45" s="2"/>
      <c r="N45" s="6">
        <f t="shared" si="27"/>
        <v>-1.0302</v>
      </c>
      <c r="O45" s="11"/>
      <c r="P45" s="7">
        <v>-144.72</v>
      </c>
      <c r="Q45" s="2"/>
      <c r="R45" s="6">
        <f t="shared" si="28"/>
        <v>0</v>
      </c>
      <c r="S45" s="2"/>
      <c r="T45" s="7">
        <v>500</v>
      </c>
      <c r="U45" s="2"/>
      <c r="V45" s="6">
        <f t="shared" si="29"/>
        <v>0</v>
      </c>
      <c r="W45" s="2"/>
      <c r="X45" s="7">
        <f t="shared" si="30"/>
        <v>-644.72</v>
      </c>
      <c r="Y45" s="2"/>
      <c r="Z45" s="6">
        <f t="shared" si="31"/>
        <v>-1.2894400000000001</v>
      </c>
    </row>
    <row r="46" spans="1:26" s="24" customFormat="1" hidden="1" outlineLevel="2" x14ac:dyDescent="0.25">
      <c r="A46" s="26"/>
      <c r="B46" s="11" t="str">
        <f>CONCATENATE("          ", "6342", " - ", "BAD DEBT")</f>
        <v xml:space="preserve">          6342 - BAD DEBT</v>
      </c>
      <c r="C46" s="11"/>
      <c r="D46" s="7"/>
      <c r="E46" s="2"/>
      <c r="F46" s="6">
        <f t="shared" si="24"/>
        <v>0</v>
      </c>
      <c r="G46" s="2"/>
      <c r="H46" s="7">
        <v>50</v>
      </c>
      <c r="I46" s="2"/>
      <c r="J46" s="6">
        <f t="shared" si="25"/>
        <v>0</v>
      </c>
      <c r="K46" s="2"/>
      <c r="L46" s="7">
        <f t="shared" si="26"/>
        <v>-50</v>
      </c>
      <c r="M46" s="2"/>
      <c r="N46" s="6">
        <f t="shared" si="27"/>
        <v>-1</v>
      </c>
      <c r="O46" s="11"/>
      <c r="P46" s="7">
        <v>5349.42</v>
      </c>
      <c r="Q46" s="2"/>
      <c r="R46" s="6">
        <f t="shared" si="28"/>
        <v>0</v>
      </c>
      <c r="S46" s="2"/>
      <c r="T46" s="7">
        <v>500</v>
      </c>
      <c r="U46" s="2"/>
      <c r="V46" s="6">
        <f t="shared" si="29"/>
        <v>0</v>
      </c>
      <c r="W46" s="2"/>
      <c r="X46" s="7">
        <f t="shared" si="30"/>
        <v>4849.42</v>
      </c>
      <c r="Y46" s="2"/>
      <c r="Z46" s="6">
        <f t="shared" si="31"/>
        <v>9.6988400000000006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4816.3999999999996</v>
      </c>
      <c r="E47" s="1"/>
      <c r="F47" s="5">
        <f t="shared" ref="F47:F51" si="32">IF(D$12=0,0,D47/D$12)</f>
        <v>0</v>
      </c>
      <c r="G47" s="1"/>
      <c r="H47" s="1">
        <f>SUM(OSRRefH22_4x_0)</f>
        <v>17000</v>
      </c>
      <c r="I47" s="1"/>
      <c r="J47" s="5">
        <f t="shared" ref="J47:J51" si="33">IF(H$12=0,0,H47/H$12)</f>
        <v>0</v>
      </c>
      <c r="K47" s="1"/>
      <c r="L47" s="1">
        <f t="shared" ref="L47:L51" si="34">+D47-H47</f>
        <v>-12183.6</v>
      </c>
      <c r="M47" s="1"/>
      <c r="N47" s="5">
        <f t="shared" ref="N47:N51" si="35">IF(H47=0,0,L47/H47)</f>
        <v>-0.71668235294117644</v>
      </c>
      <c r="O47" s="13"/>
      <c r="P47" s="1">
        <f>SUM(OSRRefP22_4x_0)</f>
        <v>70803.509999999995</v>
      </c>
      <c r="Q47" s="1"/>
      <c r="R47" s="5">
        <f t="shared" ref="R47:R51" si="36">IF(P$12=0,0,P47/P$12)</f>
        <v>0</v>
      </c>
      <c r="S47" s="1"/>
      <c r="T47" s="1">
        <f>SUM(OSRRefT22_4x_0)</f>
        <v>171000</v>
      </c>
      <c r="U47" s="1"/>
      <c r="V47" s="5">
        <f t="shared" ref="V47:V51" si="37">IF(T$12=0,0,T47/T$12)</f>
        <v>0</v>
      </c>
      <c r="W47" s="1"/>
      <c r="X47" s="1">
        <f t="shared" ref="X47:X51" si="38">+P47-T47</f>
        <v>-100196.49</v>
      </c>
      <c r="Y47" s="1"/>
      <c r="Z47" s="5">
        <f t="shared" ref="Z47:Z51" si="39">IF(T47=0,0,X47/T47)</f>
        <v>-0.58594438596491227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>
        <v>4816.3999999999996</v>
      </c>
      <c r="E48" s="2"/>
      <c r="F48" s="6">
        <f t="shared" si="32"/>
        <v>0</v>
      </c>
      <c r="G48" s="2"/>
      <c r="H48" s="7">
        <v>17000</v>
      </c>
      <c r="I48" s="2"/>
      <c r="J48" s="6">
        <f t="shared" si="33"/>
        <v>0</v>
      </c>
      <c r="K48" s="2"/>
      <c r="L48" s="7">
        <f t="shared" si="34"/>
        <v>-12183.6</v>
      </c>
      <c r="M48" s="2"/>
      <c r="N48" s="6">
        <f t="shared" si="35"/>
        <v>-0.71668235294117644</v>
      </c>
      <c r="O48" s="11"/>
      <c r="P48" s="7">
        <v>70803.509999999995</v>
      </c>
      <c r="Q48" s="2"/>
      <c r="R48" s="6">
        <f t="shared" si="36"/>
        <v>0</v>
      </c>
      <c r="S48" s="2"/>
      <c r="T48" s="7">
        <v>171000</v>
      </c>
      <c r="U48" s="2"/>
      <c r="V48" s="6">
        <f t="shared" si="37"/>
        <v>0</v>
      </c>
      <c r="W48" s="2"/>
      <c r="X48" s="7">
        <f t="shared" si="38"/>
        <v>-100196.49</v>
      </c>
      <c r="Y48" s="2"/>
      <c r="Z48" s="6">
        <f t="shared" si="39"/>
        <v>-0.58594438596491227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30565.97</v>
      </c>
      <c r="E49" s="1"/>
      <c r="F49" s="5">
        <f t="shared" si="32"/>
        <v>0</v>
      </c>
      <c r="G49" s="1"/>
      <c r="H49" s="1">
        <f>SUM(OSRRefH22_5x_0)</f>
        <v>30124</v>
      </c>
      <c r="I49" s="1"/>
      <c r="J49" s="5">
        <f t="shared" si="33"/>
        <v>0</v>
      </c>
      <c r="K49" s="1"/>
      <c r="L49" s="1">
        <f t="shared" si="34"/>
        <v>441.97000000000116</v>
      </c>
      <c r="M49" s="1"/>
      <c r="N49" s="5">
        <f t="shared" si="35"/>
        <v>1.4671690346567559E-2</v>
      </c>
      <c r="O49" s="13"/>
      <c r="P49" s="1">
        <f>SUM(OSRRefP22_5x_0)</f>
        <v>305955.19</v>
      </c>
      <c r="Q49" s="1"/>
      <c r="R49" s="5">
        <f t="shared" si="36"/>
        <v>0</v>
      </c>
      <c r="S49" s="1"/>
      <c r="T49" s="1">
        <f>SUM(OSRRefT22_5x_0)</f>
        <v>302248</v>
      </c>
      <c r="U49" s="1"/>
      <c r="V49" s="5">
        <f t="shared" si="37"/>
        <v>0</v>
      </c>
      <c r="W49" s="1"/>
      <c r="X49" s="1">
        <f t="shared" si="38"/>
        <v>3707.1900000000023</v>
      </c>
      <c r="Y49" s="1"/>
      <c r="Z49" s="5">
        <f t="shared" si="39"/>
        <v>1.2265391334268556E-2</v>
      </c>
    </row>
    <row r="50" spans="1:26" s="24" customFormat="1" hidden="1" outlineLevel="2" x14ac:dyDescent="0.25">
      <c r="A50" s="26"/>
      <c r="B50" s="11" t="str">
        <f>CONCATENATE("          ", "6321", " - ", "BUILDING DEPRECIATION")</f>
        <v xml:space="preserve">          6321 - BUILDING DEPRECIATION</v>
      </c>
      <c r="C50" s="11"/>
      <c r="D50" s="7">
        <v>16396.52</v>
      </c>
      <c r="E50" s="2"/>
      <c r="F50" s="6">
        <f t="shared" si="32"/>
        <v>0</v>
      </c>
      <c r="G50" s="2"/>
      <c r="H50" s="7"/>
      <c r="I50" s="2"/>
      <c r="J50" s="6">
        <f t="shared" si="33"/>
        <v>0</v>
      </c>
      <c r="K50" s="2"/>
      <c r="L50" s="7">
        <f t="shared" si="34"/>
        <v>16396.52</v>
      </c>
      <c r="M50" s="2"/>
      <c r="N50" s="6">
        <f t="shared" si="35"/>
        <v>0</v>
      </c>
      <c r="O50" s="11"/>
      <c r="P50" s="7">
        <v>163965.20000000001</v>
      </c>
      <c r="Q50" s="2"/>
      <c r="R50" s="6">
        <f t="shared" si="36"/>
        <v>0</v>
      </c>
      <c r="S50" s="2"/>
      <c r="T50" s="7"/>
      <c r="U50" s="2"/>
      <c r="V50" s="6">
        <f t="shared" si="37"/>
        <v>0</v>
      </c>
      <c r="W50" s="2"/>
      <c r="X50" s="7">
        <f t="shared" si="38"/>
        <v>163965.20000000001</v>
      </c>
      <c r="Y50" s="2"/>
      <c r="Z50" s="6">
        <f t="shared" si="39"/>
        <v>0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14169.45</v>
      </c>
      <c r="E51" s="2"/>
      <c r="F51" s="6">
        <f t="shared" si="32"/>
        <v>0</v>
      </c>
      <c r="G51" s="2"/>
      <c r="H51" s="7">
        <v>30124</v>
      </c>
      <c r="I51" s="2"/>
      <c r="J51" s="6">
        <f t="shared" si="33"/>
        <v>0</v>
      </c>
      <c r="K51" s="2"/>
      <c r="L51" s="7">
        <f t="shared" si="34"/>
        <v>-15954.55</v>
      </c>
      <c r="M51" s="2"/>
      <c r="N51" s="6">
        <f t="shared" si="35"/>
        <v>-0.52962919930952057</v>
      </c>
      <c r="O51" s="11"/>
      <c r="P51" s="7">
        <v>141989.99</v>
      </c>
      <c r="Q51" s="2"/>
      <c r="R51" s="6">
        <f t="shared" si="36"/>
        <v>0</v>
      </c>
      <c r="S51" s="2"/>
      <c r="T51" s="7">
        <v>302248</v>
      </c>
      <c r="U51" s="2"/>
      <c r="V51" s="6">
        <f t="shared" si="37"/>
        <v>0</v>
      </c>
      <c r="W51" s="2"/>
      <c r="X51" s="7">
        <f t="shared" si="38"/>
        <v>-160258.01</v>
      </c>
      <c r="Y51" s="2"/>
      <c r="Z51" s="6">
        <f t="shared" si="39"/>
        <v>-0.53022024959635794</v>
      </c>
    </row>
    <row r="52" spans="1:26" s="25" customFormat="1" outlineLevel="1" collapsed="1" x14ac:dyDescent="0.25">
      <c r="A52" s="27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-15.43</v>
      </c>
      <c r="E52" s="1"/>
      <c r="F52" s="5">
        <f t="shared" ref="F52:F74" si="40">IF(D$12=0,0,D52/D$12)</f>
        <v>0</v>
      </c>
      <c r="G52" s="1"/>
      <c r="H52" s="1">
        <f>SUM(OSRRefH22_6x_0)</f>
        <v>0</v>
      </c>
      <c r="I52" s="1"/>
      <c r="J52" s="5">
        <f t="shared" ref="J52:J74" si="41">IF(H$12=0,0,H52/H$12)</f>
        <v>0</v>
      </c>
      <c r="K52" s="1"/>
      <c r="L52" s="1">
        <f t="shared" ref="L52:L74" si="42">+D52-H52</f>
        <v>-15.43</v>
      </c>
      <c r="M52" s="1"/>
      <c r="N52" s="5">
        <f t="shared" ref="N52:N74" si="43">IF(H52=0,0,L52/H52)</f>
        <v>0</v>
      </c>
      <c r="O52" s="13"/>
      <c r="P52" s="1">
        <f>SUM(OSRRefP22_6x_0)</f>
        <v>-15.43</v>
      </c>
      <c r="Q52" s="1"/>
      <c r="R52" s="5">
        <f t="shared" ref="R52:R74" si="44">IF(P$12=0,0,P52/P$12)</f>
        <v>0</v>
      </c>
      <c r="S52" s="1"/>
      <c r="T52" s="1">
        <f>SUM(OSRRefT22_6x_0)</f>
        <v>0</v>
      </c>
      <c r="U52" s="1"/>
      <c r="V52" s="5">
        <f t="shared" ref="V52:V74" si="45">IF(T$12=0,0,T52/T$12)</f>
        <v>0</v>
      </c>
      <c r="W52" s="1"/>
      <c r="X52" s="1">
        <f t="shared" ref="X52:X74" si="46">+P52-T52</f>
        <v>-15.43</v>
      </c>
      <c r="Y52" s="1"/>
      <c r="Z52" s="5">
        <f t="shared" ref="Z52:Z74" si="47">IF(T52=0,0,X52/T52)</f>
        <v>0</v>
      </c>
    </row>
    <row r="53" spans="1:26" s="24" customFormat="1" hidden="1" outlineLevel="2" x14ac:dyDescent="0.25">
      <c r="A53" s="26"/>
      <c r="B53" s="11" t="str">
        <f>CONCATENATE("          ", "9175", " - ", "EARNED DISCOUNTS")</f>
        <v xml:space="preserve">          9175 - EARNED DISCOUNTS</v>
      </c>
      <c r="C53" s="11"/>
      <c r="D53" s="7">
        <v>-15.43</v>
      </c>
      <c r="E53" s="2"/>
      <c r="F53" s="6">
        <f t="shared" si="40"/>
        <v>0</v>
      </c>
      <c r="G53" s="2"/>
      <c r="H53" s="7"/>
      <c r="I53" s="2"/>
      <c r="J53" s="6">
        <f t="shared" si="41"/>
        <v>0</v>
      </c>
      <c r="K53" s="2"/>
      <c r="L53" s="7">
        <f t="shared" si="42"/>
        <v>-15.43</v>
      </c>
      <c r="M53" s="2"/>
      <c r="N53" s="6">
        <f t="shared" si="43"/>
        <v>0</v>
      </c>
      <c r="O53" s="11"/>
      <c r="P53" s="7">
        <v>-15.43</v>
      </c>
      <c r="Q53" s="2"/>
      <c r="R53" s="6">
        <f t="shared" si="44"/>
        <v>0</v>
      </c>
      <c r="S53" s="2"/>
      <c r="T53" s="7"/>
      <c r="U53" s="2"/>
      <c r="V53" s="6">
        <f t="shared" si="45"/>
        <v>0</v>
      </c>
      <c r="W53" s="2"/>
      <c r="X53" s="7">
        <f t="shared" si="46"/>
        <v>-15.43</v>
      </c>
      <c r="Y53" s="2"/>
      <c r="Z53" s="6">
        <f t="shared" si="47"/>
        <v>0</v>
      </c>
    </row>
    <row r="54" spans="1:26" s="25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SUM(OSRRefD22_7x_0)</f>
        <v>360.9</v>
      </c>
      <c r="E54" s="1"/>
      <c r="F54" s="5">
        <f t="shared" si="40"/>
        <v>0</v>
      </c>
      <c r="G54" s="1"/>
      <c r="H54" s="1">
        <f>SUM(OSRRefH22_7x_0)</f>
        <v>1000</v>
      </c>
      <c r="I54" s="1"/>
      <c r="J54" s="5">
        <f t="shared" si="41"/>
        <v>0</v>
      </c>
      <c r="K54" s="1"/>
      <c r="L54" s="1">
        <f t="shared" si="42"/>
        <v>-639.1</v>
      </c>
      <c r="M54" s="1"/>
      <c r="N54" s="5">
        <f t="shared" si="43"/>
        <v>-0.6391</v>
      </c>
      <c r="O54" s="13"/>
      <c r="P54" s="1">
        <f>SUM(OSRRefP22_7x_0)</f>
        <v>360.9</v>
      </c>
      <c r="Q54" s="1"/>
      <c r="R54" s="5">
        <f t="shared" si="44"/>
        <v>0</v>
      </c>
      <c r="S54" s="1"/>
      <c r="T54" s="1">
        <f>SUM(OSRRefT22_7x_0)</f>
        <v>10000</v>
      </c>
      <c r="U54" s="1"/>
      <c r="V54" s="5">
        <f t="shared" si="45"/>
        <v>0</v>
      </c>
      <c r="W54" s="1"/>
      <c r="X54" s="1">
        <f t="shared" si="46"/>
        <v>-9639.1</v>
      </c>
      <c r="Y54" s="1"/>
      <c r="Z54" s="5">
        <f t="shared" si="47"/>
        <v>-0.96391000000000004</v>
      </c>
    </row>
    <row r="55" spans="1:26" s="24" customFormat="1" hidden="1" outlineLevel="2" x14ac:dyDescent="0.25">
      <c r="A55" s="26"/>
      <c r="B55" s="11" t="str">
        <f>CONCATENATE("          ", "6399", " - ", "DONATION-ON CAMPUS")</f>
        <v xml:space="preserve">          6399 - DONATION-ON CAMPUS</v>
      </c>
      <c r="C55" s="11"/>
      <c r="D55" s="7">
        <v>360.9</v>
      </c>
      <c r="E55" s="2"/>
      <c r="F55" s="6">
        <f t="shared" si="40"/>
        <v>0</v>
      </c>
      <c r="G55" s="2"/>
      <c r="H55" s="7">
        <v>1000</v>
      </c>
      <c r="I55" s="2"/>
      <c r="J55" s="6">
        <f t="shared" si="41"/>
        <v>0</v>
      </c>
      <c r="K55" s="2"/>
      <c r="L55" s="7">
        <f t="shared" si="42"/>
        <v>-639.1</v>
      </c>
      <c r="M55" s="2"/>
      <c r="N55" s="6">
        <f t="shared" si="43"/>
        <v>-0.6391</v>
      </c>
      <c r="O55" s="11"/>
      <c r="P55" s="7">
        <v>360.9</v>
      </c>
      <c r="Q55" s="2"/>
      <c r="R55" s="6">
        <f t="shared" si="44"/>
        <v>0</v>
      </c>
      <c r="S55" s="2"/>
      <c r="T55" s="7">
        <v>10000</v>
      </c>
      <c r="U55" s="2"/>
      <c r="V55" s="6">
        <f t="shared" si="45"/>
        <v>0</v>
      </c>
      <c r="W55" s="2"/>
      <c r="X55" s="7">
        <f t="shared" si="46"/>
        <v>-9639.1</v>
      </c>
      <c r="Y55" s="2"/>
      <c r="Z55" s="6">
        <f t="shared" si="47"/>
        <v>-0.96391000000000004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SUM(OSRRefD22_8x_0)</f>
        <v>0</v>
      </c>
      <c r="E56" s="1"/>
      <c r="F56" s="5">
        <f t="shared" si="40"/>
        <v>0</v>
      </c>
      <c r="G56" s="1"/>
      <c r="H56" s="1">
        <f>SUM(OSRRefH22_8x_0)</f>
        <v>125</v>
      </c>
      <c r="I56" s="1"/>
      <c r="J56" s="5">
        <f t="shared" si="41"/>
        <v>0</v>
      </c>
      <c r="K56" s="1"/>
      <c r="L56" s="1">
        <f t="shared" si="42"/>
        <v>-125</v>
      </c>
      <c r="M56" s="1"/>
      <c r="N56" s="5">
        <f t="shared" si="43"/>
        <v>-1</v>
      </c>
      <c r="O56" s="13"/>
      <c r="P56" s="1">
        <f>SUM(OSRRefP22_8x_0)</f>
        <v>78.33</v>
      </c>
      <c r="Q56" s="1"/>
      <c r="R56" s="5">
        <f t="shared" si="44"/>
        <v>0</v>
      </c>
      <c r="S56" s="1"/>
      <c r="T56" s="1">
        <f>SUM(OSRRefT22_8x_0)</f>
        <v>1350</v>
      </c>
      <c r="U56" s="1"/>
      <c r="V56" s="5">
        <f t="shared" si="45"/>
        <v>0</v>
      </c>
      <c r="W56" s="1"/>
      <c r="X56" s="1">
        <f t="shared" si="46"/>
        <v>-1271.67</v>
      </c>
      <c r="Y56" s="1"/>
      <c r="Z56" s="5">
        <f t="shared" si="47"/>
        <v>-0.9419777777777778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40"/>
        <v>0</v>
      </c>
      <c r="G57" s="2"/>
      <c r="H57" s="7">
        <v>125</v>
      </c>
      <c r="I57" s="2"/>
      <c r="J57" s="6">
        <f t="shared" si="41"/>
        <v>0</v>
      </c>
      <c r="K57" s="2"/>
      <c r="L57" s="7">
        <f t="shared" si="42"/>
        <v>-125</v>
      </c>
      <c r="M57" s="2"/>
      <c r="N57" s="6">
        <f t="shared" si="43"/>
        <v>-1</v>
      </c>
      <c r="O57" s="11"/>
      <c r="P57" s="7">
        <v>78.33</v>
      </c>
      <c r="Q57" s="2"/>
      <c r="R57" s="6">
        <f t="shared" si="44"/>
        <v>0</v>
      </c>
      <c r="S57" s="2"/>
      <c r="T57" s="7">
        <v>1350</v>
      </c>
      <c r="U57" s="2"/>
      <c r="V57" s="6">
        <f t="shared" si="45"/>
        <v>0</v>
      </c>
      <c r="W57" s="2"/>
      <c r="X57" s="7">
        <f t="shared" si="46"/>
        <v>-1271.67</v>
      </c>
      <c r="Y57" s="2"/>
      <c r="Z57" s="6">
        <f t="shared" si="47"/>
        <v>-0.9419777777777778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SUM(OSRRefD22_9x_0)</f>
        <v>91.26</v>
      </c>
      <c r="E58" s="1"/>
      <c r="F58" s="5">
        <f t="shared" si="40"/>
        <v>0</v>
      </c>
      <c r="G58" s="1"/>
      <c r="H58" s="1">
        <f>SUM(OSRRefH22_9x_0)</f>
        <v>1700</v>
      </c>
      <c r="I58" s="1"/>
      <c r="J58" s="5">
        <f t="shared" si="41"/>
        <v>0</v>
      </c>
      <c r="K58" s="1"/>
      <c r="L58" s="1">
        <f t="shared" si="42"/>
        <v>-1608.74</v>
      </c>
      <c r="M58" s="1"/>
      <c r="N58" s="5">
        <f t="shared" si="43"/>
        <v>-0.94631764705882349</v>
      </c>
      <c r="O58" s="13"/>
      <c r="P58" s="1">
        <f>SUM(OSRRefP22_9x_0)</f>
        <v>1865.17</v>
      </c>
      <c r="Q58" s="1"/>
      <c r="R58" s="5">
        <f t="shared" si="44"/>
        <v>0</v>
      </c>
      <c r="S58" s="1"/>
      <c r="T58" s="1">
        <f>SUM(OSRRefT22_9x_0)</f>
        <v>17000</v>
      </c>
      <c r="U58" s="1"/>
      <c r="V58" s="5">
        <f t="shared" si="45"/>
        <v>0</v>
      </c>
      <c r="W58" s="1"/>
      <c r="X58" s="1">
        <f t="shared" si="46"/>
        <v>-15134.83</v>
      </c>
      <c r="Y58" s="1"/>
      <c r="Z58" s="5">
        <f t="shared" si="47"/>
        <v>-0.89028411764705884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91.26</v>
      </c>
      <c r="E59" s="2"/>
      <c r="F59" s="6">
        <f t="shared" si="40"/>
        <v>0</v>
      </c>
      <c r="G59" s="2"/>
      <c r="H59" s="7">
        <v>1700</v>
      </c>
      <c r="I59" s="2"/>
      <c r="J59" s="6">
        <f t="shared" si="41"/>
        <v>0</v>
      </c>
      <c r="K59" s="2"/>
      <c r="L59" s="7">
        <f t="shared" si="42"/>
        <v>-1608.74</v>
      </c>
      <c r="M59" s="2"/>
      <c r="N59" s="6">
        <f t="shared" si="43"/>
        <v>-0.94631764705882349</v>
      </c>
      <c r="O59" s="11"/>
      <c r="P59" s="7">
        <v>1865.17</v>
      </c>
      <c r="Q59" s="2"/>
      <c r="R59" s="6">
        <f t="shared" si="44"/>
        <v>0</v>
      </c>
      <c r="S59" s="2"/>
      <c r="T59" s="7">
        <v>17000</v>
      </c>
      <c r="U59" s="2"/>
      <c r="V59" s="6">
        <f t="shared" si="45"/>
        <v>0</v>
      </c>
      <c r="W59" s="2"/>
      <c r="X59" s="7">
        <f t="shared" si="46"/>
        <v>-15134.83</v>
      </c>
      <c r="Y59" s="2"/>
      <c r="Z59" s="6">
        <f t="shared" si="47"/>
        <v>-0.89028411764705884</v>
      </c>
    </row>
    <row r="60" spans="1:26" s="25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SUM(OSRRefD22_10x_0)</f>
        <v>16.46</v>
      </c>
      <c r="E60" s="1"/>
      <c r="F60" s="5">
        <f t="shared" si="40"/>
        <v>0</v>
      </c>
      <c r="G60" s="1"/>
      <c r="H60" s="1">
        <f>SUM(OSRRefH22_10x_0)</f>
        <v>10</v>
      </c>
      <c r="I60" s="1"/>
      <c r="J60" s="5">
        <f t="shared" si="41"/>
        <v>0</v>
      </c>
      <c r="K60" s="1"/>
      <c r="L60" s="1">
        <f t="shared" si="42"/>
        <v>6.4600000000000009</v>
      </c>
      <c r="M60" s="1"/>
      <c r="N60" s="5">
        <f t="shared" si="43"/>
        <v>0.64600000000000013</v>
      </c>
      <c r="O60" s="13"/>
      <c r="P60" s="1">
        <f>SUM(OSRRefP22_10x_0)</f>
        <v>2050.06</v>
      </c>
      <c r="Q60" s="1"/>
      <c r="R60" s="5">
        <f t="shared" si="44"/>
        <v>0</v>
      </c>
      <c r="S60" s="1"/>
      <c r="T60" s="1">
        <f>SUM(OSRRefT22_10x_0)</f>
        <v>100</v>
      </c>
      <c r="U60" s="1"/>
      <c r="V60" s="5">
        <f t="shared" si="45"/>
        <v>0</v>
      </c>
      <c r="W60" s="1"/>
      <c r="X60" s="1">
        <f t="shared" si="46"/>
        <v>1950.06</v>
      </c>
      <c r="Y60" s="1"/>
      <c r="Z60" s="5">
        <f t="shared" si="47"/>
        <v>19.500599999999999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7">
        <v>16.46</v>
      </c>
      <c r="E61" s="2"/>
      <c r="F61" s="6">
        <f t="shared" si="40"/>
        <v>0</v>
      </c>
      <c r="G61" s="2"/>
      <c r="H61" s="7">
        <v>10</v>
      </c>
      <c r="I61" s="2"/>
      <c r="J61" s="6">
        <f t="shared" si="41"/>
        <v>0</v>
      </c>
      <c r="K61" s="2"/>
      <c r="L61" s="7">
        <f t="shared" si="42"/>
        <v>6.4600000000000009</v>
      </c>
      <c r="M61" s="2"/>
      <c r="N61" s="6">
        <f t="shared" si="43"/>
        <v>0.64600000000000013</v>
      </c>
      <c r="O61" s="11"/>
      <c r="P61" s="7">
        <v>2050.06</v>
      </c>
      <c r="Q61" s="2"/>
      <c r="R61" s="6">
        <f t="shared" si="44"/>
        <v>0</v>
      </c>
      <c r="S61" s="2"/>
      <c r="T61" s="7">
        <v>100</v>
      </c>
      <c r="U61" s="2"/>
      <c r="V61" s="6">
        <f t="shared" si="45"/>
        <v>0</v>
      </c>
      <c r="W61" s="2"/>
      <c r="X61" s="7">
        <f t="shared" si="46"/>
        <v>1950.06</v>
      </c>
      <c r="Y61" s="2"/>
      <c r="Z61" s="6">
        <f t="shared" si="47"/>
        <v>19.500599999999999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SUM(OSRRefD22_11x_0)</f>
        <v>0</v>
      </c>
      <c r="E62" s="1"/>
      <c r="F62" s="5">
        <f t="shared" si="40"/>
        <v>0</v>
      </c>
      <c r="G62" s="1"/>
      <c r="H62" s="1">
        <f>SUM(OSRRefH22_11x_0)</f>
        <v>500</v>
      </c>
      <c r="I62" s="1"/>
      <c r="J62" s="5">
        <f t="shared" si="41"/>
        <v>0</v>
      </c>
      <c r="K62" s="1"/>
      <c r="L62" s="1">
        <f t="shared" si="42"/>
        <v>-500</v>
      </c>
      <c r="M62" s="1"/>
      <c r="N62" s="5">
        <f t="shared" si="43"/>
        <v>-1</v>
      </c>
      <c r="O62" s="13"/>
      <c r="P62" s="1">
        <f>SUM(OSRRefP22_11x_0)</f>
        <v>1386.81</v>
      </c>
      <c r="Q62" s="1"/>
      <c r="R62" s="5">
        <f t="shared" si="44"/>
        <v>0</v>
      </c>
      <c r="S62" s="1"/>
      <c r="T62" s="1">
        <f>SUM(OSRRefT22_11x_0)</f>
        <v>5000</v>
      </c>
      <c r="U62" s="1"/>
      <c r="V62" s="5">
        <f t="shared" si="45"/>
        <v>0</v>
      </c>
      <c r="W62" s="1"/>
      <c r="X62" s="1">
        <f t="shared" si="46"/>
        <v>-3613.19</v>
      </c>
      <c r="Y62" s="1"/>
      <c r="Z62" s="5">
        <f t="shared" si="47"/>
        <v>-0.722638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40"/>
        <v>0</v>
      </c>
      <c r="G63" s="2"/>
      <c r="H63" s="7">
        <v>500</v>
      </c>
      <c r="I63" s="2"/>
      <c r="J63" s="6">
        <f t="shared" si="41"/>
        <v>0</v>
      </c>
      <c r="K63" s="2"/>
      <c r="L63" s="7">
        <f t="shared" si="42"/>
        <v>-500</v>
      </c>
      <c r="M63" s="2"/>
      <c r="N63" s="6">
        <f t="shared" si="43"/>
        <v>-1</v>
      </c>
      <c r="O63" s="11"/>
      <c r="P63" s="7">
        <v>1386.81</v>
      </c>
      <c r="Q63" s="2"/>
      <c r="R63" s="6">
        <f t="shared" si="44"/>
        <v>0</v>
      </c>
      <c r="S63" s="2"/>
      <c r="T63" s="7">
        <v>5000</v>
      </c>
      <c r="U63" s="2"/>
      <c r="V63" s="6">
        <f t="shared" si="45"/>
        <v>0</v>
      </c>
      <c r="W63" s="2"/>
      <c r="X63" s="7">
        <f t="shared" si="46"/>
        <v>-3613.19</v>
      </c>
      <c r="Y63" s="2"/>
      <c r="Z63" s="6">
        <f t="shared" si="47"/>
        <v>-0.722638</v>
      </c>
    </row>
    <row r="64" spans="1:26" s="25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SUM(OSRRefD22_12x_0)</f>
        <v>3883.56</v>
      </c>
      <c r="E64" s="1"/>
      <c r="F64" s="5">
        <f t="shared" si="40"/>
        <v>0</v>
      </c>
      <c r="G64" s="1"/>
      <c r="H64" s="1">
        <f>SUM(OSRRefH22_12x_0)</f>
        <v>4270</v>
      </c>
      <c r="I64" s="1"/>
      <c r="J64" s="5">
        <f t="shared" si="41"/>
        <v>0</v>
      </c>
      <c r="K64" s="1"/>
      <c r="L64" s="1">
        <f t="shared" si="42"/>
        <v>-386.44000000000005</v>
      </c>
      <c r="M64" s="1"/>
      <c r="N64" s="5">
        <f t="shared" si="43"/>
        <v>-9.0501170960187366E-2</v>
      </c>
      <c r="O64" s="13"/>
      <c r="P64" s="1">
        <f>SUM(OSRRefP22_12x_0)</f>
        <v>38835.599999999999</v>
      </c>
      <c r="Q64" s="1"/>
      <c r="R64" s="5">
        <f t="shared" si="44"/>
        <v>0</v>
      </c>
      <c r="S64" s="1"/>
      <c r="T64" s="1">
        <f>SUM(OSRRefT22_12x_0)</f>
        <v>42700</v>
      </c>
      <c r="U64" s="1"/>
      <c r="V64" s="5">
        <f t="shared" si="45"/>
        <v>0</v>
      </c>
      <c r="W64" s="1"/>
      <c r="X64" s="1">
        <f t="shared" si="46"/>
        <v>-3864.4000000000015</v>
      </c>
      <c r="Y64" s="1"/>
      <c r="Z64" s="5">
        <f t="shared" si="47"/>
        <v>-9.0501170960187394E-2</v>
      </c>
    </row>
    <row r="65" spans="1:26" s="24" customFormat="1" hidden="1" outlineLevel="2" x14ac:dyDescent="0.25">
      <c r="A65" s="26"/>
      <c r="B65" s="11" t="str">
        <f>CONCATENATE("          ", "6314", " - ", "LIABILITY INSURANCE")</f>
        <v xml:space="preserve">          6314 - LIABILITY INSURANCE</v>
      </c>
      <c r="C65" s="11"/>
      <c r="D65" s="7">
        <v>3883.56</v>
      </c>
      <c r="E65" s="2"/>
      <c r="F65" s="6">
        <f t="shared" si="40"/>
        <v>0</v>
      </c>
      <c r="G65" s="2"/>
      <c r="H65" s="7">
        <v>4270</v>
      </c>
      <c r="I65" s="2"/>
      <c r="J65" s="6">
        <f t="shared" si="41"/>
        <v>0</v>
      </c>
      <c r="K65" s="2"/>
      <c r="L65" s="7">
        <f t="shared" si="42"/>
        <v>-386.44000000000005</v>
      </c>
      <c r="M65" s="2"/>
      <c r="N65" s="6">
        <f t="shared" si="43"/>
        <v>-9.0501170960187366E-2</v>
      </c>
      <c r="O65" s="11"/>
      <c r="P65" s="7">
        <v>38835.599999999999</v>
      </c>
      <c r="Q65" s="2"/>
      <c r="R65" s="6">
        <f t="shared" si="44"/>
        <v>0</v>
      </c>
      <c r="S65" s="2"/>
      <c r="T65" s="7">
        <v>42700</v>
      </c>
      <c r="U65" s="2"/>
      <c r="V65" s="6">
        <f t="shared" si="45"/>
        <v>0</v>
      </c>
      <c r="W65" s="2"/>
      <c r="X65" s="7">
        <f t="shared" si="46"/>
        <v>-3864.4000000000015</v>
      </c>
      <c r="Y65" s="2"/>
      <c r="Z65" s="6">
        <f t="shared" si="47"/>
        <v>-9.0501170960187394E-2</v>
      </c>
    </row>
    <row r="66" spans="1:26" s="25" customFormat="1" outlineLevel="1" collapsed="1" x14ac:dyDescent="0.25">
      <c r="A66" s="27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1000</v>
      </c>
      <c r="I66" s="1"/>
      <c r="J66" s="5">
        <f t="shared" si="41"/>
        <v>0</v>
      </c>
      <c r="K66" s="1"/>
      <c r="L66" s="1">
        <f t="shared" si="42"/>
        <v>-1000</v>
      </c>
      <c r="M66" s="1"/>
      <c r="N66" s="5">
        <f t="shared" si="43"/>
        <v>-1</v>
      </c>
      <c r="O66" s="13"/>
      <c r="P66" s="1">
        <f>SUM(OSRRefP22_13x_0)</f>
        <v>0</v>
      </c>
      <c r="Q66" s="1"/>
      <c r="R66" s="5">
        <f t="shared" si="44"/>
        <v>0</v>
      </c>
      <c r="S66" s="1"/>
      <c r="T66" s="1">
        <f>SUM(OSRRefT22_13x_0)</f>
        <v>10000</v>
      </c>
      <c r="U66" s="1"/>
      <c r="V66" s="5">
        <f t="shared" si="45"/>
        <v>0</v>
      </c>
      <c r="W66" s="1"/>
      <c r="X66" s="1">
        <f t="shared" si="46"/>
        <v>-10000</v>
      </c>
      <c r="Y66" s="1"/>
      <c r="Z66" s="5">
        <f t="shared" si="47"/>
        <v>-1</v>
      </c>
    </row>
    <row r="67" spans="1:26" s="24" customFormat="1" hidden="1" outlineLevel="2" x14ac:dyDescent="0.25">
      <c r="A67" s="26"/>
      <c r="B67" s="11" t="str">
        <f>CONCATENATE("          ", "6408", " - ", "INVENTORY ADJUSTMENT")</f>
        <v xml:space="preserve">          6408 - INVENTORY ADJUSTMENT</v>
      </c>
      <c r="C67" s="11"/>
      <c r="D67" s="7"/>
      <c r="E67" s="2"/>
      <c r="F67" s="6">
        <f t="shared" si="40"/>
        <v>0</v>
      </c>
      <c r="G67" s="2"/>
      <c r="H67" s="7">
        <v>1000</v>
      </c>
      <c r="I67" s="2"/>
      <c r="J67" s="6">
        <f t="shared" si="41"/>
        <v>0</v>
      </c>
      <c r="K67" s="2"/>
      <c r="L67" s="7">
        <f t="shared" si="42"/>
        <v>-1000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10000</v>
      </c>
      <c r="U67" s="2"/>
      <c r="V67" s="6">
        <f t="shared" si="45"/>
        <v>0</v>
      </c>
      <c r="W67" s="2"/>
      <c r="X67" s="7">
        <f t="shared" si="46"/>
        <v>-10000</v>
      </c>
      <c r="Y67" s="2"/>
      <c r="Z67" s="6">
        <f t="shared" si="47"/>
        <v>-1</v>
      </c>
    </row>
    <row r="68" spans="1:26" s="25" customFormat="1" outlineLevel="1" collapsed="1" x14ac:dyDescent="0.25">
      <c r="A68" s="27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3"/>
      <c r="P68" s="1">
        <f>SUM(OSRRefP22_14x_0)</f>
        <v>-8000</v>
      </c>
      <c r="Q68" s="1"/>
      <c r="R68" s="5">
        <f t="shared" si="44"/>
        <v>0</v>
      </c>
      <c r="S68" s="1"/>
      <c r="T68" s="1">
        <f>SUM(OSRRefT22_14x_0)</f>
        <v>-8000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25">
      <c r="A69" s="26"/>
      <c r="B69" s="11" t="str">
        <f>CONCATENATE("          ", "6273", " - ", "RENT")</f>
        <v xml:space="preserve">          6273 - RENT</v>
      </c>
      <c r="C69" s="11"/>
      <c r="D69" s="7">
        <v>-800</v>
      </c>
      <c r="E69" s="2"/>
      <c r="F69" s="6">
        <f t="shared" si="40"/>
        <v>0</v>
      </c>
      <c r="G69" s="2"/>
      <c r="H69" s="7">
        <v>-800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-8000</v>
      </c>
      <c r="Q69" s="2"/>
      <c r="R69" s="6">
        <f t="shared" si="44"/>
        <v>0</v>
      </c>
      <c r="S69" s="2"/>
      <c r="T69" s="7">
        <v>-8000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5" customFormat="1" outlineLevel="1" collapsed="1" x14ac:dyDescent="0.25">
      <c r="A70" s="27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SUM(OSRRefD22_15x_0)</f>
        <v>2128.54</v>
      </c>
      <c r="E70" s="1"/>
      <c r="F70" s="5">
        <f t="shared" si="40"/>
        <v>0</v>
      </c>
      <c r="G70" s="1"/>
      <c r="H70" s="1">
        <f>SUM(OSRRefH22_15x_0)</f>
        <v>9000</v>
      </c>
      <c r="I70" s="1"/>
      <c r="J70" s="5">
        <f t="shared" si="41"/>
        <v>0</v>
      </c>
      <c r="K70" s="1"/>
      <c r="L70" s="1">
        <f t="shared" si="42"/>
        <v>-6871.46</v>
      </c>
      <c r="M70" s="1"/>
      <c r="N70" s="5">
        <f t="shared" si="43"/>
        <v>-0.76349555555555559</v>
      </c>
      <c r="O70" s="13"/>
      <c r="P70" s="1">
        <f>SUM(OSRRefP22_15x_0)</f>
        <v>100788.09999999999</v>
      </c>
      <c r="Q70" s="1"/>
      <c r="R70" s="5">
        <f t="shared" si="44"/>
        <v>0</v>
      </c>
      <c r="S70" s="1"/>
      <c r="T70" s="1">
        <f>SUM(OSRRefT22_15x_0)</f>
        <v>135000</v>
      </c>
      <c r="U70" s="1"/>
      <c r="V70" s="5">
        <f t="shared" si="45"/>
        <v>0</v>
      </c>
      <c r="W70" s="1"/>
      <c r="X70" s="1">
        <f t="shared" si="46"/>
        <v>-34211.900000000009</v>
      </c>
      <c r="Y70" s="1"/>
      <c r="Z70" s="5">
        <f t="shared" si="47"/>
        <v>-0.25342148148148153</v>
      </c>
    </row>
    <row r="71" spans="1:26" s="24" customFormat="1" hidden="1" outlineLevel="2" x14ac:dyDescent="0.25">
      <c r="A71" s="26"/>
      <c r="B71" s="11" t="str">
        <f>CONCATENATE("          ", "6371", " - ", "COMPUTER SOFTWARE MAINTENANCE")</f>
        <v xml:space="preserve">          6371 - COMPUTER SOFTWARE MAINTENANCE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59760.03</v>
      </c>
      <c r="Q71" s="2"/>
      <c r="R71" s="6">
        <f t="shared" si="44"/>
        <v>0</v>
      </c>
      <c r="S71" s="2"/>
      <c r="T71" s="7">
        <v>45000</v>
      </c>
      <c r="U71" s="2"/>
      <c r="V71" s="6">
        <f t="shared" si="45"/>
        <v>0</v>
      </c>
      <c r="W71" s="2"/>
      <c r="X71" s="7">
        <f t="shared" si="46"/>
        <v>14760.029999999999</v>
      </c>
      <c r="Y71" s="2"/>
      <c r="Z71" s="6">
        <f t="shared" si="47"/>
        <v>0.32800066666666666</v>
      </c>
    </row>
    <row r="72" spans="1:26" s="24" customFormat="1" hidden="1" outlineLevel="2" x14ac:dyDescent="0.25">
      <c r="A72" s="26"/>
      <c r="B72" s="11" t="str">
        <f>CONCATENATE("          ", "6372", " - ", "COMPUTER HARDWARE MAINTENANCE")</f>
        <v xml:space="preserve">          6372 - COMPUTER HARDWARE MAINTENANCE</v>
      </c>
      <c r="C72" s="11"/>
      <c r="D72" s="7"/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>
        <v>-0.63</v>
      </c>
      <c r="Q72" s="2"/>
      <c r="R72" s="6">
        <f t="shared" si="44"/>
        <v>0</v>
      </c>
      <c r="S72" s="2"/>
      <c r="T72" s="7"/>
      <c r="U72" s="2"/>
      <c r="V72" s="6">
        <f t="shared" si="45"/>
        <v>0</v>
      </c>
      <c r="W72" s="2"/>
      <c r="X72" s="7">
        <f t="shared" si="46"/>
        <v>-0.63</v>
      </c>
      <c r="Y72" s="2"/>
      <c r="Z72" s="6">
        <f t="shared" si="47"/>
        <v>0</v>
      </c>
    </row>
    <row r="73" spans="1:26" s="24" customFormat="1" hidden="1" outlineLevel="2" x14ac:dyDescent="0.25">
      <c r="A73" s="26"/>
      <c r="B73" s="11" t="str">
        <f>CONCATENATE("          ", "6373", " - ", "MAINTENANCE CONTRACTS")</f>
        <v xml:space="preserve">          6373 - MAINTENANCE CONTRACTS</v>
      </c>
      <c r="C73" s="11"/>
      <c r="D73" s="7">
        <v>1308.71</v>
      </c>
      <c r="E73" s="2"/>
      <c r="F73" s="6">
        <f t="shared" si="40"/>
        <v>0</v>
      </c>
      <c r="G73" s="2"/>
      <c r="H73" s="7">
        <v>1000</v>
      </c>
      <c r="I73" s="2"/>
      <c r="J73" s="6">
        <f t="shared" si="41"/>
        <v>0</v>
      </c>
      <c r="K73" s="2"/>
      <c r="L73" s="7">
        <f t="shared" si="42"/>
        <v>308.71000000000004</v>
      </c>
      <c r="M73" s="2"/>
      <c r="N73" s="6">
        <f t="shared" si="43"/>
        <v>0.30871000000000004</v>
      </c>
      <c r="O73" s="11"/>
      <c r="P73" s="7">
        <v>14425.83</v>
      </c>
      <c r="Q73" s="2"/>
      <c r="R73" s="6">
        <f t="shared" si="44"/>
        <v>0</v>
      </c>
      <c r="S73" s="2"/>
      <c r="T73" s="7">
        <v>10000</v>
      </c>
      <c r="U73" s="2"/>
      <c r="V73" s="6">
        <f t="shared" si="45"/>
        <v>0</v>
      </c>
      <c r="W73" s="2"/>
      <c r="X73" s="7">
        <f t="shared" si="46"/>
        <v>4425.83</v>
      </c>
      <c r="Y73" s="2"/>
      <c r="Z73" s="6">
        <f t="shared" si="47"/>
        <v>0.442583</v>
      </c>
    </row>
    <row r="74" spans="1:26" s="24" customFormat="1" hidden="1" outlineLevel="2" x14ac:dyDescent="0.25">
      <c r="A74" s="26"/>
      <c r="B74" s="11" t="str">
        <f>CONCATENATE("          ", "6375", " - ", "OUTSIDE REPAIRS &amp; MAINTENANCE")</f>
        <v xml:space="preserve">          6375 - OUTSIDE REPAIRS &amp; MAINTENANCE</v>
      </c>
      <c r="C74" s="11"/>
      <c r="D74" s="7">
        <v>819.83</v>
      </c>
      <c r="E74" s="2"/>
      <c r="F74" s="6">
        <f t="shared" si="40"/>
        <v>0</v>
      </c>
      <c r="G74" s="2"/>
      <c r="H74" s="7">
        <v>8000</v>
      </c>
      <c r="I74" s="2"/>
      <c r="J74" s="6">
        <f t="shared" si="41"/>
        <v>0</v>
      </c>
      <c r="K74" s="2"/>
      <c r="L74" s="7">
        <f t="shared" si="42"/>
        <v>-7180.17</v>
      </c>
      <c r="M74" s="2"/>
      <c r="N74" s="6">
        <f t="shared" si="43"/>
        <v>-0.89752125000000005</v>
      </c>
      <c r="O74" s="11"/>
      <c r="P74" s="7">
        <v>26602.87</v>
      </c>
      <c r="Q74" s="2"/>
      <c r="R74" s="6">
        <f t="shared" si="44"/>
        <v>0</v>
      </c>
      <c r="S74" s="2"/>
      <c r="T74" s="7">
        <v>80000</v>
      </c>
      <c r="U74" s="2"/>
      <c r="V74" s="6">
        <f t="shared" si="45"/>
        <v>0</v>
      </c>
      <c r="W74" s="2"/>
      <c r="X74" s="7">
        <f t="shared" si="46"/>
        <v>-53397.130000000005</v>
      </c>
      <c r="Y74" s="2"/>
      <c r="Z74" s="6">
        <f t="shared" si="47"/>
        <v>-0.66746412500000007</v>
      </c>
    </row>
    <row r="75" spans="1:26" s="25" customFormat="1" outlineLevel="1" collapsed="1" x14ac:dyDescent="0.25">
      <c r="A75" s="27"/>
      <c r="B75" s="13" t="str">
        <f>CONCATENATE("     ","Services                                          ")</f>
        <v xml:space="preserve">     Services                                          </v>
      </c>
      <c r="C75" s="13"/>
      <c r="D75" s="1">
        <f>SUM(OSRRefD22_16x_0)</f>
        <v>3850.73</v>
      </c>
      <c r="E75" s="1"/>
      <c r="F75" s="5">
        <f t="shared" ref="F75:F78" si="48">IF(D$12=0,0,D75/D$12)</f>
        <v>0</v>
      </c>
      <c r="G75" s="1"/>
      <c r="H75" s="1">
        <f>SUM(OSRRefH22_16x_0)</f>
        <v>4300</v>
      </c>
      <c r="I75" s="1"/>
      <c r="J75" s="5">
        <f t="shared" ref="J75:J78" si="49">IF(H$12=0,0,H75/H$12)</f>
        <v>0</v>
      </c>
      <c r="K75" s="1"/>
      <c r="L75" s="1">
        <f t="shared" ref="L75:L78" si="50">+D75-H75</f>
        <v>-449.27</v>
      </c>
      <c r="M75" s="1"/>
      <c r="N75" s="5">
        <f t="shared" ref="N75:N78" si="51">IF(H75=0,0,L75/H75)</f>
        <v>-0.1044813953488372</v>
      </c>
      <c r="O75" s="13"/>
      <c r="P75" s="1">
        <f>SUM(OSRRefP22_16x_0)</f>
        <v>39362.550000000003</v>
      </c>
      <c r="Q75" s="1"/>
      <c r="R75" s="5">
        <f t="shared" ref="R75:R78" si="52">IF(P$12=0,0,P75/P$12)</f>
        <v>0</v>
      </c>
      <c r="S75" s="1"/>
      <c r="T75" s="1">
        <f>SUM(OSRRefT22_16x_0)</f>
        <v>43000</v>
      </c>
      <c r="U75" s="1"/>
      <c r="V75" s="5">
        <f t="shared" ref="V75:V78" si="53">IF(T$12=0,0,T75/T$12)</f>
        <v>0</v>
      </c>
      <c r="W75" s="1"/>
      <c r="X75" s="1">
        <f t="shared" ref="X75:X78" si="54">+P75-T75</f>
        <v>-3637.4499999999971</v>
      </c>
      <c r="Y75" s="1"/>
      <c r="Z75" s="5">
        <f t="shared" ref="Z75:Z78" si="55">IF(T75=0,0,X75/T75)</f>
        <v>-8.4591860465116214E-2</v>
      </c>
    </row>
    <row r="76" spans="1:26" s="24" customFormat="1" hidden="1" outlineLevel="2" x14ac:dyDescent="0.25">
      <c r="A76" s="26"/>
      <c r="B76" s="11" t="str">
        <f>CONCATENATE("          ", "6282", " - ", "JANITORIAL/EXTERMINATOR EXPENS")</f>
        <v xml:space="preserve">          6282 - JANITORIAL/EXTERMINATOR EXPENS</v>
      </c>
      <c r="C76" s="11"/>
      <c r="D76" s="7"/>
      <c r="E76" s="2"/>
      <c r="F76" s="6">
        <f t="shared" si="48"/>
        <v>0</v>
      </c>
      <c r="G76" s="2"/>
      <c r="H76" s="7">
        <v>4000</v>
      </c>
      <c r="I76" s="2"/>
      <c r="J76" s="6">
        <f t="shared" si="49"/>
        <v>0</v>
      </c>
      <c r="K76" s="2"/>
      <c r="L76" s="7">
        <f t="shared" si="50"/>
        <v>-4000</v>
      </c>
      <c r="M76" s="2"/>
      <c r="N76" s="6">
        <f t="shared" si="51"/>
        <v>-1</v>
      </c>
      <c r="O76" s="11"/>
      <c r="P76" s="7">
        <v>7230.12</v>
      </c>
      <c r="Q76" s="2"/>
      <c r="R76" s="6">
        <f t="shared" si="52"/>
        <v>0</v>
      </c>
      <c r="S76" s="2"/>
      <c r="T76" s="7">
        <v>40000</v>
      </c>
      <c r="U76" s="2"/>
      <c r="V76" s="6">
        <f t="shared" si="53"/>
        <v>0</v>
      </c>
      <c r="W76" s="2"/>
      <c r="X76" s="7">
        <f t="shared" si="54"/>
        <v>-32769.879999999997</v>
      </c>
      <c r="Y76" s="2"/>
      <c r="Z76" s="6">
        <f t="shared" si="55"/>
        <v>-0.81924699999999995</v>
      </c>
    </row>
    <row r="77" spans="1:26" s="24" customFormat="1" hidden="1" outlineLevel="2" x14ac:dyDescent="0.25">
      <c r="A77" s="26"/>
      <c r="B77" s="11" t="str">
        <f>CONCATENATE("          ", "6283", " - ", "PLANT SERVICE")</f>
        <v xml:space="preserve">          6283 - PLANT SERVICE</v>
      </c>
      <c r="C77" s="11"/>
      <c r="D77" s="7"/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0</v>
      </c>
      <c r="M77" s="2"/>
      <c r="N77" s="6">
        <f t="shared" si="51"/>
        <v>0</v>
      </c>
      <c r="O77" s="11"/>
      <c r="P77" s="7">
        <v>130</v>
      </c>
      <c r="Q77" s="2"/>
      <c r="R77" s="6">
        <f t="shared" si="52"/>
        <v>0</v>
      </c>
      <c r="S77" s="2"/>
      <c r="T77" s="7"/>
      <c r="U77" s="2"/>
      <c r="V77" s="6">
        <f t="shared" si="53"/>
        <v>0</v>
      </c>
      <c r="W77" s="2"/>
      <c r="X77" s="7">
        <f t="shared" si="54"/>
        <v>130</v>
      </c>
      <c r="Y77" s="2"/>
      <c r="Z77" s="6">
        <f t="shared" si="55"/>
        <v>0</v>
      </c>
    </row>
    <row r="78" spans="1:26" s="24" customFormat="1" hidden="1" outlineLevel="2" x14ac:dyDescent="0.25">
      <c r="A78" s="26"/>
      <c r="B78" s="11" t="str">
        <f>CONCATENATE("          ", "6285", " - ", "JANITORIAL SERVICES")</f>
        <v xml:space="preserve">          6285 - JANITORIAL SERVICES</v>
      </c>
      <c r="C78" s="11"/>
      <c r="D78" s="7">
        <v>3850.73</v>
      </c>
      <c r="E78" s="2"/>
      <c r="F78" s="6">
        <f t="shared" si="48"/>
        <v>0</v>
      </c>
      <c r="G78" s="2"/>
      <c r="H78" s="7">
        <v>300</v>
      </c>
      <c r="I78" s="2"/>
      <c r="J78" s="6">
        <f t="shared" si="49"/>
        <v>0</v>
      </c>
      <c r="K78" s="2"/>
      <c r="L78" s="7">
        <f t="shared" si="50"/>
        <v>3550.73</v>
      </c>
      <c r="M78" s="2"/>
      <c r="N78" s="6">
        <f t="shared" si="51"/>
        <v>11.835766666666666</v>
      </c>
      <c r="O78" s="11"/>
      <c r="P78" s="7">
        <v>32002.43</v>
      </c>
      <c r="Q78" s="2"/>
      <c r="R78" s="6">
        <f t="shared" si="52"/>
        <v>0</v>
      </c>
      <c r="S78" s="2"/>
      <c r="T78" s="7">
        <v>3000</v>
      </c>
      <c r="U78" s="2"/>
      <c r="V78" s="6">
        <f t="shared" si="53"/>
        <v>0</v>
      </c>
      <c r="W78" s="2"/>
      <c r="X78" s="7">
        <f t="shared" si="54"/>
        <v>29002.43</v>
      </c>
      <c r="Y78" s="2"/>
      <c r="Z78" s="6">
        <f t="shared" si="55"/>
        <v>9.6674766666666674</v>
      </c>
    </row>
    <row r="79" spans="1:26" s="25" customFormat="1" outlineLevel="1" collapsed="1" x14ac:dyDescent="0.25">
      <c r="A79" s="27"/>
      <c r="B79" s="13" t="str">
        <f>CONCATENATE("     ","Subscriptions &amp; Dues                              ")</f>
        <v xml:space="preserve">     Subscriptions &amp; Dues                              </v>
      </c>
      <c r="C79" s="13"/>
      <c r="D79" s="1">
        <f>SUM(OSRRefD22_17x_0)</f>
        <v>0</v>
      </c>
      <c r="E79" s="1"/>
      <c r="F79" s="5">
        <f t="shared" ref="F79:F88" si="56">IF(D$12=0,0,D79/D$12)</f>
        <v>0</v>
      </c>
      <c r="G79" s="1"/>
      <c r="H79" s="1">
        <f>SUM(OSRRefH22_17x_0)</f>
        <v>800</v>
      </c>
      <c r="I79" s="1"/>
      <c r="J79" s="5">
        <f t="shared" ref="J79:J88" si="57">IF(H$12=0,0,H79/H$12)</f>
        <v>0</v>
      </c>
      <c r="K79" s="1"/>
      <c r="L79" s="1">
        <f t="shared" ref="L79:L88" si="58">+D79-H79</f>
        <v>-800</v>
      </c>
      <c r="M79" s="1"/>
      <c r="N79" s="5">
        <f t="shared" ref="N79:N88" si="59">IF(H79=0,0,L79/H79)</f>
        <v>-1</v>
      </c>
      <c r="O79" s="13"/>
      <c r="P79" s="1">
        <f>SUM(OSRRefP22_17x_0)</f>
        <v>0</v>
      </c>
      <c r="Q79" s="1"/>
      <c r="R79" s="5">
        <f t="shared" ref="R79:R88" si="60">IF(P$12=0,0,P79/P$12)</f>
        <v>0</v>
      </c>
      <c r="S79" s="1"/>
      <c r="T79" s="1">
        <f>SUM(OSRRefT22_17x_0)</f>
        <v>8000</v>
      </c>
      <c r="U79" s="1"/>
      <c r="V79" s="5">
        <f t="shared" ref="V79:V88" si="61">IF(T$12=0,0,T79/T$12)</f>
        <v>0</v>
      </c>
      <c r="W79" s="1"/>
      <c r="X79" s="1">
        <f t="shared" ref="X79:X88" si="62">+P79-T79</f>
        <v>-8000</v>
      </c>
      <c r="Y79" s="1"/>
      <c r="Z79" s="5">
        <f t="shared" ref="Z79:Z88" si="63">IF(T79=0,0,X79/T79)</f>
        <v>-1</v>
      </c>
    </row>
    <row r="80" spans="1:26" s="24" customFormat="1" hidden="1" outlineLevel="2" x14ac:dyDescent="0.25">
      <c r="A80" s="26"/>
      <c r="B80" s="11" t="str">
        <f>CONCATENATE("          ", "6258", " - ", "MEMBERSHIP DUES")</f>
        <v xml:space="preserve">          6258 - MEMBERSHIP DUES</v>
      </c>
      <c r="C80" s="11"/>
      <c r="D80" s="7"/>
      <c r="E80" s="2"/>
      <c r="F80" s="6">
        <f t="shared" si="56"/>
        <v>0</v>
      </c>
      <c r="G80" s="2"/>
      <c r="H80" s="7">
        <v>800</v>
      </c>
      <c r="I80" s="2"/>
      <c r="J80" s="6">
        <f t="shared" si="57"/>
        <v>0</v>
      </c>
      <c r="K80" s="2"/>
      <c r="L80" s="7">
        <f t="shared" si="58"/>
        <v>-800</v>
      </c>
      <c r="M80" s="2"/>
      <c r="N80" s="6">
        <f t="shared" si="59"/>
        <v>-1</v>
      </c>
      <c r="O80" s="11"/>
      <c r="P80" s="7"/>
      <c r="Q80" s="2"/>
      <c r="R80" s="6">
        <f t="shared" si="60"/>
        <v>0</v>
      </c>
      <c r="S80" s="2"/>
      <c r="T80" s="7">
        <v>8000</v>
      </c>
      <c r="U80" s="2"/>
      <c r="V80" s="6">
        <f t="shared" si="61"/>
        <v>0</v>
      </c>
      <c r="W80" s="2"/>
      <c r="X80" s="7">
        <f t="shared" si="62"/>
        <v>-8000</v>
      </c>
      <c r="Y80" s="2"/>
      <c r="Z80" s="6">
        <f t="shared" si="63"/>
        <v>-1</v>
      </c>
    </row>
    <row r="81" spans="1:26" s="25" customFormat="1" outlineLevel="1" collapsed="1" x14ac:dyDescent="0.25">
      <c r="A81" s="27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SUM(OSRRefD22_18x_0)</f>
        <v>4644.67</v>
      </c>
      <c r="E81" s="1"/>
      <c r="F81" s="5">
        <f t="shared" si="56"/>
        <v>0</v>
      </c>
      <c r="G81" s="1"/>
      <c r="H81" s="1">
        <f>SUM(OSRRefH22_18x_0)</f>
        <v>3900</v>
      </c>
      <c r="I81" s="1"/>
      <c r="J81" s="5">
        <f t="shared" si="57"/>
        <v>0</v>
      </c>
      <c r="K81" s="1"/>
      <c r="L81" s="1">
        <f t="shared" si="58"/>
        <v>744.67000000000007</v>
      </c>
      <c r="M81" s="1"/>
      <c r="N81" s="5">
        <f t="shared" si="59"/>
        <v>0.19094102564102566</v>
      </c>
      <c r="O81" s="13"/>
      <c r="P81" s="1">
        <f>SUM(OSRRefP22_18x_0)</f>
        <v>64043.72</v>
      </c>
      <c r="Q81" s="1"/>
      <c r="R81" s="5">
        <f t="shared" si="60"/>
        <v>0</v>
      </c>
      <c r="S81" s="1"/>
      <c r="T81" s="1">
        <f>SUM(OSRRefT22_18x_0)</f>
        <v>98800</v>
      </c>
      <c r="U81" s="1"/>
      <c r="V81" s="5">
        <f t="shared" si="61"/>
        <v>0</v>
      </c>
      <c r="W81" s="1"/>
      <c r="X81" s="1">
        <f t="shared" si="62"/>
        <v>-34756.28</v>
      </c>
      <c r="Y81" s="1"/>
      <c r="Z81" s="5">
        <f t="shared" si="63"/>
        <v>-0.35178421052631575</v>
      </c>
    </row>
    <row r="82" spans="1:26" s="24" customFormat="1" hidden="1" outlineLevel="2" x14ac:dyDescent="0.25">
      <c r="A82" s="26"/>
      <c r="B82" s="11" t="str">
        <f>CONCATENATE("          ", "6234", " - ", "EXPENDABLE SUPPLIES &amp; EQUIPMEN")</f>
        <v xml:space="preserve">          6234 - EXPENDABLE SUPPLIES &amp; EQUIPMEN</v>
      </c>
      <c r="C82" s="11"/>
      <c r="D82" s="7"/>
      <c r="E82" s="2"/>
      <c r="F82" s="6">
        <f t="shared" si="56"/>
        <v>0</v>
      </c>
      <c r="G82" s="2"/>
      <c r="H82" s="7">
        <v>100</v>
      </c>
      <c r="I82" s="2"/>
      <c r="J82" s="6">
        <f t="shared" si="57"/>
        <v>0</v>
      </c>
      <c r="K82" s="2"/>
      <c r="L82" s="7">
        <f t="shared" si="58"/>
        <v>-100</v>
      </c>
      <c r="M82" s="2"/>
      <c r="N82" s="6">
        <f t="shared" si="59"/>
        <v>-1</v>
      </c>
      <c r="O82" s="11"/>
      <c r="P82" s="7">
        <v>-449.34</v>
      </c>
      <c r="Q82" s="2"/>
      <c r="R82" s="6">
        <f t="shared" si="60"/>
        <v>0</v>
      </c>
      <c r="S82" s="2"/>
      <c r="T82" s="7">
        <v>1000</v>
      </c>
      <c r="U82" s="2"/>
      <c r="V82" s="6">
        <f t="shared" si="61"/>
        <v>0</v>
      </c>
      <c r="W82" s="2"/>
      <c r="X82" s="7">
        <f t="shared" si="62"/>
        <v>-1449.34</v>
      </c>
      <c r="Y82" s="2"/>
      <c r="Z82" s="6">
        <f t="shared" si="63"/>
        <v>-1.4493399999999999</v>
      </c>
    </row>
    <row r="83" spans="1:26" s="24" customFormat="1" hidden="1" outlineLevel="2" x14ac:dyDescent="0.25">
      <c r="A83" s="26"/>
      <c r="B83" s="11" t="str">
        <f>CONCATENATE("          ", "6235", " - ", "COVID-19 EXPENSES")</f>
        <v xml:space="preserve">          6235 - COVID-19 EXPENSES</v>
      </c>
      <c r="C83" s="11"/>
      <c r="D83" s="7">
        <v>3407.79</v>
      </c>
      <c r="E83" s="2"/>
      <c r="F83" s="6">
        <f t="shared" si="56"/>
        <v>0</v>
      </c>
      <c r="G83" s="2"/>
      <c r="H83" s="7">
        <v>100</v>
      </c>
      <c r="I83" s="2"/>
      <c r="J83" s="6">
        <f t="shared" si="57"/>
        <v>0</v>
      </c>
      <c r="K83" s="2"/>
      <c r="L83" s="7">
        <f t="shared" si="58"/>
        <v>3307.79</v>
      </c>
      <c r="M83" s="2"/>
      <c r="N83" s="6">
        <f t="shared" si="59"/>
        <v>33.0779</v>
      </c>
      <c r="O83" s="11"/>
      <c r="P83" s="7">
        <v>39022.449999999997</v>
      </c>
      <c r="Q83" s="2"/>
      <c r="R83" s="6">
        <f t="shared" si="60"/>
        <v>0</v>
      </c>
      <c r="S83" s="2"/>
      <c r="T83" s="7">
        <v>60800</v>
      </c>
      <c r="U83" s="2"/>
      <c r="V83" s="6">
        <f t="shared" si="61"/>
        <v>0</v>
      </c>
      <c r="W83" s="2"/>
      <c r="X83" s="7">
        <f t="shared" si="62"/>
        <v>-21777.550000000003</v>
      </c>
      <c r="Y83" s="2"/>
      <c r="Z83" s="6">
        <f t="shared" si="63"/>
        <v>-0.3581833881578948</v>
      </c>
    </row>
    <row r="84" spans="1:26" s="24" customFormat="1" hidden="1" outlineLevel="2" x14ac:dyDescent="0.25">
      <c r="A84" s="26"/>
      <c r="B84" s="11" t="str">
        <f>CONCATENATE("          ", "6237", " - ", "JANITORIAL SUPPLIES")</f>
        <v xml:space="preserve">          6237 - JANITORIAL SUPPLIES</v>
      </c>
      <c r="C84" s="11"/>
      <c r="D84" s="7">
        <v>588.30999999999995</v>
      </c>
      <c r="E84" s="2"/>
      <c r="F84" s="6">
        <f t="shared" si="56"/>
        <v>0</v>
      </c>
      <c r="G84" s="2"/>
      <c r="H84" s="7">
        <v>200</v>
      </c>
      <c r="I84" s="2"/>
      <c r="J84" s="6">
        <f t="shared" si="57"/>
        <v>0</v>
      </c>
      <c r="K84" s="2"/>
      <c r="L84" s="7">
        <f t="shared" si="58"/>
        <v>388.30999999999995</v>
      </c>
      <c r="M84" s="2"/>
      <c r="N84" s="6">
        <f t="shared" si="59"/>
        <v>1.9415499999999997</v>
      </c>
      <c r="O84" s="11"/>
      <c r="P84" s="7">
        <v>3297.81</v>
      </c>
      <c r="Q84" s="2"/>
      <c r="R84" s="6">
        <f t="shared" si="60"/>
        <v>0</v>
      </c>
      <c r="S84" s="2"/>
      <c r="T84" s="7">
        <v>2000</v>
      </c>
      <c r="U84" s="2"/>
      <c r="V84" s="6">
        <f t="shared" si="61"/>
        <v>0</v>
      </c>
      <c r="W84" s="2"/>
      <c r="X84" s="7">
        <f t="shared" si="62"/>
        <v>1297.81</v>
      </c>
      <c r="Y84" s="2"/>
      <c r="Z84" s="6">
        <f t="shared" si="63"/>
        <v>0.64890499999999995</v>
      </c>
    </row>
    <row r="85" spans="1:26" s="24" customFormat="1" hidden="1" outlineLevel="2" x14ac:dyDescent="0.25">
      <c r="A85" s="26"/>
      <c r="B85" s="11" t="str">
        <f>CONCATENATE("          ", "6241", " - ", "OFFICE EXPENSE")</f>
        <v xml:space="preserve">          6241 - OFFICE EXPENSE</v>
      </c>
      <c r="C85" s="11"/>
      <c r="D85" s="7">
        <v>9.68</v>
      </c>
      <c r="E85" s="2"/>
      <c r="F85" s="6">
        <f t="shared" si="56"/>
        <v>0</v>
      </c>
      <c r="G85" s="2"/>
      <c r="H85" s="7"/>
      <c r="I85" s="2"/>
      <c r="J85" s="6">
        <f t="shared" si="57"/>
        <v>0</v>
      </c>
      <c r="K85" s="2"/>
      <c r="L85" s="7">
        <f t="shared" si="58"/>
        <v>9.68</v>
      </c>
      <c r="M85" s="2"/>
      <c r="N85" s="6">
        <f t="shared" si="59"/>
        <v>0</v>
      </c>
      <c r="O85" s="11"/>
      <c r="P85" s="7">
        <v>2872.57</v>
      </c>
      <c r="Q85" s="2"/>
      <c r="R85" s="6">
        <f t="shared" si="60"/>
        <v>0</v>
      </c>
      <c r="S85" s="2"/>
      <c r="T85" s="7"/>
      <c r="U85" s="2"/>
      <c r="V85" s="6">
        <f t="shared" si="61"/>
        <v>0</v>
      </c>
      <c r="W85" s="2"/>
      <c r="X85" s="7">
        <f t="shared" si="62"/>
        <v>2872.57</v>
      </c>
      <c r="Y85" s="2"/>
      <c r="Z85" s="6">
        <f t="shared" si="63"/>
        <v>0</v>
      </c>
    </row>
    <row r="86" spans="1:26" s="24" customFormat="1" hidden="1" outlineLevel="2" x14ac:dyDescent="0.25">
      <c r="A86" s="26"/>
      <c r="B86" s="11" t="str">
        <f>CONCATENATE("          ", "6245", " - ", "PRINTING")</f>
        <v xml:space="preserve">          6245 - PRINTING</v>
      </c>
      <c r="C86" s="11"/>
      <c r="D86" s="7"/>
      <c r="E86" s="2"/>
      <c r="F86" s="6">
        <f t="shared" si="56"/>
        <v>0</v>
      </c>
      <c r="G86" s="2"/>
      <c r="H86" s="7"/>
      <c r="I86" s="2"/>
      <c r="J86" s="6">
        <f t="shared" si="57"/>
        <v>0</v>
      </c>
      <c r="K86" s="2"/>
      <c r="L86" s="7">
        <f t="shared" si="58"/>
        <v>0</v>
      </c>
      <c r="M86" s="2"/>
      <c r="N86" s="6">
        <f t="shared" si="59"/>
        <v>0</v>
      </c>
      <c r="O86" s="11"/>
      <c r="P86" s="7">
        <v>68.66</v>
      </c>
      <c r="Q86" s="2"/>
      <c r="R86" s="6">
        <f t="shared" si="60"/>
        <v>0</v>
      </c>
      <c r="S86" s="2"/>
      <c r="T86" s="7"/>
      <c r="U86" s="2"/>
      <c r="V86" s="6">
        <f t="shared" si="61"/>
        <v>0</v>
      </c>
      <c r="W86" s="2"/>
      <c r="X86" s="7">
        <f t="shared" si="62"/>
        <v>68.66</v>
      </c>
      <c r="Y86" s="2"/>
      <c r="Z86" s="6">
        <f t="shared" si="63"/>
        <v>0</v>
      </c>
    </row>
    <row r="87" spans="1:26" s="24" customFormat="1" hidden="1" outlineLevel="2" x14ac:dyDescent="0.25">
      <c r="A87" s="26"/>
      <c r="B87" s="11" t="str">
        <f>CONCATENATE("          ", "6247", " - ", "STORE SUPPLIES")</f>
        <v xml:space="preserve">          6247 - STORE SUPPLIES</v>
      </c>
      <c r="C87" s="11"/>
      <c r="D87" s="7">
        <v>638.89</v>
      </c>
      <c r="E87" s="2"/>
      <c r="F87" s="6">
        <f t="shared" si="56"/>
        <v>0</v>
      </c>
      <c r="G87" s="2"/>
      <c r="H87" s="7">
        <v>2000</v>
      </c>
      <c r="I87" s="2"/>
      <c r="J87" s="6">
        <f t="shared" si="57"/>
        <v>0</v>
      </c>
      <c r="K87" s="2"/>
      <c r="L87" s="7">
        <f t="shared" si="58"/>
        <v>-1361.1100000000001</v>
      </c>
      <c r="M87" s="2"/>
      <c r="N87" s="6">
        <f t="shared" si="59"/>
        <v>-0.68055500000000002</v>
      </c>
      <c r="O87" s="11"/>
      <c r="P87" s="7">
        <v>19231.57</v>
      </c>
      <c r="Q87" s="2"/>
      <c r="R87" s="6">
        <f t="shared" si="60"/>
        <v>0</v>
      </c>
      <c r="S87" s="2"/>
      <c r="T87" s="7">
        <v>20000</v>
      </c>
      <c r="U87" s="2"/>
      <c r="V87" s="6">
        <f t="shared" si="61"/>
        <v>0</v>
      </c>
      <c r="W87" s="2"/>
      <c r="X87" s="7">
        <f t="shared" si="62"/>
        <v>-768.43000000000029</v>
      </c>
      <c r="Y87" s="2"/>
      <c r="Z87" s="6">
        <f t="shared" si="63"/>
        <v>-3.8421500000000011E-2</v>
      </c>
    </row>
    <row r="88" spans="1:26" s="24" customFormat="1" hidden="1" outlineLevel="2" x14ac:dyDescent="0.25">
      <c r="A88" s="26"/>
      <c r="B88" s="11" t="str">
        <f>CONCATENATE("          ", "6248", " - ", "UNIFORMS")</f>
        <v xml:space="preserve">          6248 - UNIFORMS</v>
      </c>
      <c r="C88" s="11"/>
      <c r="D88" s="7"/>
      <c r="E88" s="2"/>
      <c r="F88" s="6">
        <f t="shared" si="56"/>
        <v>0</v>
      </c>
      <c r="G88" s="2"/>
      <c r="H88" s="7">
        <v>1500</v>
      </c>
      <c r="I88" s="2"/>
      <c r="J88" s="6">
        <f t="shared" si="57"/>
        <v>0</v>
      </c>
      <c r="K88" s="2"/>
      <c r="L88" s="7">
        <f t="shared" si="58"/>
        <v>-1500</v>
      </c>
      <c r="M88" s="2"/>
      <c r="N88" s="6">
        <f t="shared" si="59"/>
        <v>-1</v>
      </c>
      <c r="O88" s="11"/>
      <c r="P88" s="7"/>
      <c r="Q88" s="2"/>
      <c r="R88" s="6">
        <f t="shared" si="60"/>
        <v>0</v>
      </c>
      <c r="S88" s="2"/>
      <c r="T88" s="7">
        <v>15000</v>
      </c>
      <c r="U88" s="2"/>
      <c r="V88" s="6">
        <f t="shared" si="61"/>
        <v>0</v>
      </c>
      <c r="W88" s="2"/>
      <c r="X88" s="7">
        <f t="shared" si="62"/>
        <v>-15000</v>
      </c>
      <c r="Y88" s="2"/>
      <c r="Z88" s="6">
        <f t="shared" si="63"/>
        <v>-1</v>
      </c>
    </row>
    <row r="89" spans="1:26" s="25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SUM(OSRRefD22_19x_0)</f>
        <v>493.71</v>
      </c>
      <c r="E89" s="1"/>
      <c r="F89" s="5">
        <f t="shared" ref="F89:F95" si="64">IF(D$12=0,0,D89/D$12)</f>
        <v>0</v>
      </c>
      <c r="G89" s="1"/>
      <c r="H89" s="1">
        <f>SUM(OSRRefH22_19x_0)</f>
        <v>600</v>
      </c>
      <c r="I89" s="1"/>
      <c r="J89" s="5">
        <f t="shared" ref="J89:J95" si="65">IF(H$12=0,0,H89/H$12)</f>
        <v>0</v>
      </c>
      <c r="K89" s="1"/>
      <c r="L89" s="1">
        <f t="shared" ref="L89:L95" si="66">+D89-H89</f>
        <v>-106.29000000000002</v>
      </c>
      <c r="M89" s="1"/>
      <c r="N89" s="5">
        <f t="shared" ref="N89:N95" si="67">IF(H89=0,0,L89/H89)</f>
        <v>-0.17715000000000003</v>
      </c>
      <c r="O89" s="13"/>
      <c r="P89" s="1">
        <f>SUM(OSRRefP22_19x_0)</f>
        <v>5723.25</v>
      </c>
      <c r="Q89" s="1"/>
      <c r="R89" s="5">
        <f t="shared" ref="R89:R95" si="68">IF(P$12=0,0,P89/P$12)</f>
        <v>0</v>
      </c>
      <c r="S89" s="1"/>
      <c r="T89" s="1">
        <f>SUM(OSRRefT22_19x_0)</f>
        <v>6000</v>
      </c>
      <c r="U89" s="1"/>
      <c r="V89" s="5">
        <f t="shared" ref="V89:V95" si="69">IF(T$12=0,0,T89/T$12)</f>
        <v>0</v>
      </c>
      <c r="W89" s="1"/>
      <c r="X89" s="1">
        <f t="shared" ref="X89:X95" si="70">+P89-T89</f>
        <v>-276.75</v>
      </c>
      <c r="Y89" s="1"/>
      <c r="Z89" s="5">
        <f t="shared" ref="Z89:Z95" si="71">IF(T89=0,0,X89/T89)</f>
        <v>-4.6124999999999999E-2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7">
        <v>493.71</v>
      </c>
      <c r="E90" s="2"/>
      <c r="F90" s="6">
        <f t="shared" si="64"/>
        <v>0</v>
      </c>
      <c r="G90" s="2"/>
      <c r="H90" s="7">
        <v>600</v>
      </c>
      <c r="I90" s="2"/>
      <c r="J90" s="6">
        <f t="shared" si="65"/>
        <v>0</v>
      </c>
      <c r="K90" s="2"/>
      <c r="L90" s="7">
        <f t="shared" si="66"/>
        <v>-106.29000000000002</v>
      </c>
      <c r="M90" s="2"/>
      <c r="N90" s="6">
        <f t="shared" si="67"/>
        <v>-0.17715000000000003</v>
      </c>
      <c r="O90" s="11"/>
      <c r="P90" s="7">
        <v>5723.25</v>
      </c>
      <c r="Q90" s="2"/>
      <c r="R90" s="6">
        <f t="shared" si="68"/>
        <v>0</v>
      </c>
      <c r="S90" s="2"/>
      <c r="T90" s="7">
        <v>6000</v>
      </c>
      <c r="U90" s="2"/>
      <c r="V90" s="6">
        <f t="shared" si="69"/>
        <v>0</v>
      </c>
      <c r="W90" s="2"/>
      <c r="X90" s="7">
        <f t="shared" si="70"/>
        <v>-276.75</v>
      </c>
      <c r="Y90" s="2"/>
      <c r="Z90" s="6">
        <f t="shared" si="71"/>
        <v>-4.6124999999999999E-2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SUM(OSRRefD22_20x_0)</f>
        <v>0</v>
      </c>
      <c r="E91" s="1"/>
      <c r="F91" s="5">
        <f t="shared" si="64"/>
        <v>0</v>
      </c>
      <c r="G91" s="1"/>
      <c r="H91" s="1">
        <f>SUM(OSRRefH22_20x_0)</f>
        <v>0</v>
      </c>
      <c r="I91" s="1"/>
      <c r="J91" s="5">
        <f t="shared" si="65"/>
        <v>0</v>
      </c>
      <c r="K91" s="1"/>
      <c r="L91" s="1">
        <f t="shared" si="66"/>
        <v>0</v>
      </c>
      <c r="M91" s="1"/>
      <c r="N91" s="5">
        <f t="shared" si="67"/>
        <v>0</v>
      </c>
      <c r="O91" s="13"/>
      <c r="P91" s="1">
        <f>SUM(OSRRefP22_20x_0)</f>
        <v>881.63</v>
      </c>
      <c r="Q91" s="1"/>
      <c r="R91" s="5">
        <f t="shared" si="68"/>
        <v>0</v>
      </c>
      <c r="S91" s="1"/>
      <c r="T91" s="1">
        <f>SUM(OSRRefT22_20x_0)</f>
        <v>3250</v>
      </c>
      <c r="U91" s="1"/>
      <c r="V91" s="5">
        <f t="shared" si="69"/>
        <v>0</v>
      </c>
      <c r="W91" s="1"/>
      <c r="X91" s="1">
        <f t="shared" si="70"/>
        <v>-2368.37</v>
      </c>
      <c r="Y91" s="1"/>
      <c r="Z91" s="5">
        <f t="shared" si="71"/>
        <v>-0.72872923076923068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4"/>
        <v>0</v>
      </c>
      <c r="G92" s="2"/>
      <c r="H92" s="7"/>
      <c r="I92" s="2"/>
      <c r="J92" s="6">
        <f t="shared" si="65"/>
        <v>0</v>
      </c>
      <c r="K92" s="2"/>
      <c r="L92" s="7">
        <f t="shared" si="66"/>
        <v>0</v>
      </c>
      <c r="M92" s="2"/>
      <c r="N92" s="6">
        <f t="shared" si="67"/>
        <v>0</v>
      </c>
      <c r="O92" s="11"/>
      <c r="P92" s="7">
        <v>881.63</v>
      </c>
      <c r="Q92" s="2"/>
      <c r="R92" s="6">
        <f t="shared" si="68"/>
        <v>0</v>
      </c>
      <c r="S92" s="2"/>
      <c r="T92" s="7">
        <v>3250</v>
      </c>
      <c r="U92" s="2"/>
      <c r="V92" s="6">
        <f t="shared" si="69"/>
        <v>0</v>
      </c>
      <c r="W92" s="2"/>
      <c r="X92" s="7">
        <f t="shared" si="70"/>
        <v>-2368.37</v>
      </c>
      <c r="Y92" s="2"/>
      <c r="Z92" s="6">
        <f t="shared" si="71"/>
        <v>-0.72872923076923068</v>
      </c>
    </row>
    <row r="93" spans="1:26" s="25" customFormat="1" outlineLevel="1" collapsed="1" x14ac:dyDescent="0.25">
      <c r="A93" s="27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SUM(OSRRefD22_21x_0)</f>
        <v>0</v>
      </c>
      <c r="E93" s="1"/>
      <c r="F93" s="5">
        <f t="shared" si="64"/>
        <v>0</v>
      </c>
      <c r="G93" s="1"/>
      <c r="H93" s="1">
        <f>SUM(OSRRefH22_21x_0)</f>
        <v>0</v>
      </c>
      <c r="I93" s="1"/>
      <c r="J93" s="5">
        <f t="shared" si="65"/>
        <v>0</v>
      </c>
      <c r="K93" s="1"/>
      <c r="L93" s="1">
        <f t="shared" si="66"/>
        <v>0</v>
      </c>
      <c r="M93" s="1"/>
      <c r="N93" s="5">
        <f t="shared" si="67"/>
        <v>0</v>
      </c>
      <c r="O93" s="13"/>
      <c r="P93" s="1">
        <f>SUM(OSRRefP22_21x_0)</f>
        <v>358.89</v>
      </c>
      <c r="Q93" s="1"/>
      <c r="R93" s="5">
        <f t="shared" si="68"/>
        <v>0</v>
      </c>
      <c r="S93" s="1"/>
      <c r="T93" s="1">
        <f>SUM(OSRRefT22_21x_0)</f>
        <v>0</v>
      </c>
      <c r="U93" s="1"/>
      <c r="V93" s="5">
        <f t="shared" si="69"/>
        <v>0</v>
      </c>
      <c r="W93" s="1"/>
      <c r="X93" s="1">
        <f t="shared" si="70"/>
        <v>358.89</v>
      </c>
      <c r="Y93" s="1"/>
      <c r="Z93" s="5">
        <f t="shared" si="71"/>
        <v>0</v>
      </c>
    </row>
    <row r="94" spans="1:26" s="24" customFormat="1" hidden="1" outlineLevel="2" x14ac:dyDescent="0.25">
      <c r="A94" s="26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4"/>
        <v>0</v>
      </c>
      <c r="G94" s="2"/>
      <c r="H94" s="7"/>
      <c r="I94" s="2"/>
      <c r="J94" s="6">
        <f t="shared" si="65"/>
        <v>0</v>
      </c>
      <c r="K94" s="2"/>
      <c r="L94" s="7">
        <f t="shared" si="66"/>
        <v>0</v>
      </c>
      <c r="M94" s="2"/>
      <c r="N94" s="6">
        <f t="shared" si="67"/>
        <v>0</v>
      </c>
      <c r="O94" s="11"/>
      <c r="P94" s="7">
        <v>299</v>
      </c>
      <c r="Q94" s="2"/>
      <c r="R94" s="6">
        <f t="shared" si="68"/>
        <v>0</v>
      </c>
      <c r="S94" s="2"/>
      <c r="T94" s="7"/>
      <c r="U94" s="2"/>
      <c r="V94" s="6">
        <f t="shared" si="69"/>
        <v>0</v>
      </c>
      <c r="W94" s="2"/>
      <c r="X94" s="7">
        <f t="shared" si="70"/>
        <v>299</v>
      </c>
      <c r="Y94" s="2"/>
      <c r="Z94" s="6">
        <f t="shared" si="71"/>
        <v>0</v>
      </c>
    </row>
    <row r="95" spans="1:26" s="24" customFormat="1" hidden="1" outlineLevel="2" x14ac:dyDescent="0.25">
      <c r="A95" s="26"/>
      <c r="B95" s="11" t="str">
        <f>CONCATENATE("          ", "6298", " - ", "VEHICLE MILEAGE")</f>
        <v xml:space="preserve">          6298 - VEHICLE MILEAGE</v>
      </c>
      <c r="C95" s="11"/>
      <c r="D95" s="7"/>
      <c r="E95" s="2"/>
      <c r="F95" s="6">
        <f t="shared" si="64"/>
        <v>0</v>
      </c>
      <c r="G95" s="2"/>
      <c r="H95" s="7"/>
      <c r="I95" s="2"/>
      <c r="J95" s="6">
        <f t="shared" si="65"/>
        <v>0</v>
      </c>
      <c r="K95" s="2"/>
      <c r="L95" s="7">
        <f t="shared" si="66"/>
        <v>0</v>
      </c>
      <c r="M95" s="2"/>
      <c r="N95" s="6">
        <f t="shared" si="67"/>
        <v>0</v>
      </c>
      <c r="O95" s="11"/>
      <c r="P95" s="7">
        <v>59.89</v>
      </c>
      <c r="Q95" s="2"/>
      <c r="R95" s="6">
        <f t="shared" si="68"/>
        <v>0</v>
      </c>
      <c r="S95" s="2"/>
      <c r="T95" s="7"/>
      <c r="U95" s="2"/>
      <c r="V95" s="6">
        <f t="shared" si="69"/>
        <v>0</v>
      </c>
      <c r="W95" s="2"/>
      <c r="X95" s="7">
        <f t="shared" si="70"/>
        <v>59.89</v>
      </c>
      <c r="Y95" s="2"/>
      <c r="Z95" s="6">
        <f t="shared" si="71"/>
        <v>0</v>
      </c>
    </row>
    <row r="96" spans="1:26" s="25" customFormat="1" outlineLevel="1" collapsed="1" x14ac:dyDescent="0.25">
      <c r="A96" s="27"/>
      <c r="B96" s="13" t="str">
        <f>CONCATENATE("     ","Utilities                                         ")</f>
        <v xml:space="preserve">     Utilities                                         </v>
      </c>
      <c r="C96" s="13"/>
      <c r="D96" s="1">
        <f>SUM(OSRRefD22_22x_0)</f>
        <v>6133</v>
      </c>
      <c r="E96" s="1"/>
      <c r="F96" s="5">
        <f t="shared" ref="F96:F97" si="72">IF(D$12=0,0,D96/D$12)</f>
        <v>0</v>
      </c>
      <c r="G96" s="1"/>
      <c r="H96" s="1">
        <f>SUM(OSRRefH22_22x_0)</f>
        <v>6000</v>
      </c>
      <c r="I96" s="1"/>
      <c r="J96" s="5">
        <f t="shared" ref="J96:J97" si="73">IF(H$12=0,0,H96/H$12)</f>
        <v>0</v>
      </c>
      <c r="K96" s="1"/>
      <c r="L96" s="1">
        <f t="shared" ref="L96:L97" si="74">+D96-H96</f>
        <v>133</v>
      </c>
      <c r="M96" s="1"/>
      <c r="N96" s="5">
        <f t="shared" ref="N96:N97" si="75">IF(H96=0,0,L96/H96)</f>
        <v>2.2166666666666668E-2</v>
      </c>
      <c r="O96" s="13"/>
      <c r="P96" s="1">
        <f>SUM(OSRRefP22_22x_0)</f>
        <v>58400</v>
      </c>
      <c r="Q96" s="1"/>
      <c r="R96" s="5">
        <f t="shared" ref="R96:R97" si="76">IF(P$12=0,0,P96/P$12)</f>
        <v>0</v>
      </c>
      <c r="S96" s="1"/>
      <c r="T96" s="1">
        <f>SUM(OSRRefT22_22x_0)</f>
        <v>60000</v>
      </c>
      <c r="U96" s="1"/>
      <c r="V96" s="5">
        <f t="shared" ref="V96:V97" si="77">IF(T$12=0,0,T96/T$12)</f>
        <v>0</v>
      </c>
      <c r="W96" s="1"/>
      <c r="X96" s="1">
        <f t="shared" ref="X96:X97" si="78">+P96-T96</f>
        <v>-1600</v>
      </c>
      <c r="Y96" s="1"/>
      <c r="Z96" s="5">
        <f t="shared" ref="Z96:Z97" si="79">IF(T96=0,0,X96/T96)</f>
        <v>-2.6666666666666668E-2</v>
      </c>
    </row>
    <row r="97" spans="1:26" s="24" customFormat="1" hidden="1" outlineLevel="2" x14ac:dyDescent="0.25">
      <c r="A97" s="26"/>
      <c r="B97" s="11" t="str">
        <f>CONCATENATE("          ", "6274", " - ", "UTILITIES")</f>
        <v xml:space="preserve">          6274 - UTILITIES</v>
      </c>
      <c r="C97" s="11"/>
      <c r="D97" s="7">
        <v>6133</v>
      </c>
      <c r="E97" s="2"/>
      <c r="F97" s="6">
        <f t="shared" si="72"/>
        <v>0</v>
      </c>
      <c r="G97" s="2"/>
      <c r="H97" s="7">
        <v>6000</v>
      </c>
      <c r="I97" s="2"/>
      <c r="J97" s="6">
        <f t="shared" si="73"/>
        <v>0</v>
      </c>
      <c r="K97" s="2"/>
      <c r="L97" s="7">
        <f t="shared" si="74"/>
        <v>133</v>
      </c>
      <c r="M97" s="2"/>
      <c r="N97" s="6">
        <f t="shared" si="75"/>
        <v>2.2166666666666668E-2</v>
      </c>
      <c r="O97" s="11"/>
      <c r="P97" s="7">
        <v>58400</v>
      </c>
      <c r="Q97" s="2"/>
      <c r="R97" s="6">
        <f t="shared" si="76"/>
        <v>0</v>
      </c>
      <c r="S97" s="2"/>
      <c r="T97" s="7">
        <v>60000</v>
      </c>
      <c r="U97" s="2"/>
      <c r="V97" s="6">
        <f t="shared" si="77"/>
        <v>0</v>
      </c>
      <c r="W97" s="2"/>
      <c r="X97" s="7">
        <f t="shared" si="78"/>
        <v>-1600</v>
      </c>
      <c r="Y97" s="2"/>
      <c r="Z97" s="6">
        <f t="shared" si="79"/>
        <v>-2.6666666666666668E-2</v>
      </c>
    </row>
    <row r="98" spans="1:26" s="61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9" t="s">
        <v>293</v>
      </c>
      <c r="C99" s="10"/>
      <c r="D99" s="4">
        <f>SUM(OSRRefD25x_0)</f>
        <v>5385.99</v>
      </c>
      <c r="E99" s="4"/>
      <c r="F99" s="12">
        <f t="shared" ref="F99:F101" si="80">IF(D$12=0,0,D99/D$12)</f>
        <v>0</v>
      </c>
      <c r="G99" s="4"/>
      <c r="H99" s="4">
        <f>SUM(OSRRefH25x_0)</f>
        <v>18675</v>
      </c>
      <c r="I99" s="4"/>
      <c r="J99" s="12">
        <f t="shared" ref="J99:J101" si="81">IF(H$12=0,0,H99/H$12)</f>
        <v>0</v>
      </c>
      <c r="K99" s="4"/>
      <c r="L99" s="4">
        <f t="shared" ref="L99:L101" si="82">+D99-H99</f>
        <v>-13289.01</v>
      </c>
      <c r="M99" s="4"/>
      <c r="N99" s="12">
        <f t="shared" ref="N99:N101" si="83">IF(H99=0,0,L99/H99)</f>
        <v>-0.71159357429718872</v>
      </c>
      <c r="O99" s="10"/>
      <c r="P99" s="4">
        <f>SUM(OSRRefP25x_0)</f>
        <v>183040.32</v>
      </c>
      <c r="Q99" s="4"/>
      <c r="R99" s="12">
        <f t="shared" ref="R99:R101" si="84">IF(P$12=0,0,P99/P$12)</f>
        <v>0</v>
      </c>
      <c r="S99" s="4"/>
      <c r="T99" s="4">
        <f>SUM(OSRRefT25x_0)</f>
        <v>176950</v>
      </c>
      <c r="U99" s="4"/>
      <c r="V99" s="12">
        <f t="shared" ref="V99:V101" si="85">IF(T$12=0,0,T99/T$12)</f>
        <v>0</v>
      </c>
      <c r="W99" s="4"/>
      <c r="X99" s="4">
        <f t="shared" ref="X99:X101" si="86">+P99-T99</f>
        <v>6090.320000000007</v>
      </c>
      <c r="Y99" s="4"/>
      <c r="Z99" s="12">
        <f t="shared" ref="Z99:Z101" si="87">IF(T99=0,0,X99/T99)</f>
        <v>3.4418310257134821E-2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>--5385.99</f>
        <v>5385.99</v>
      </c>
      <c r="E100" s="2"/>
      <c r="F100" s="19">
        <f t="shared" si="80"/>
        <v>0</v>
      </c>
      <c r="G100" s="2"/>
      <c r="H100" s="2">
        <v>3200</v>
      </c>
      <c r="I100" s="2"/>
      <c r="J100" s="19">
        <f t="shared" si="81"/>
        <v>0</v>
      </c>
      <c r="K100" s="2"/>
      <c r="L100" s="2">
        <f t="shared" si="82"/>
        <v>2185.9899999999998</v>
      </c>
      <c r="M100" s="2"/>
      <c r="N100" s="19">
        <f t="shared" si="83"/>
        <v>0.68312187499999988</v>
      </c>
      <c r="O100" s="11"/>
      <c r="P100" s="2">
        <f>--183040.32</f>
        <v>183040.32</v>
      </c>
      <c r="Q100" s="2"/>
      <c r="R100" s="19">
        <f t="shared" si="84"/>
        <v>0</v>
      </c>
      <c r="S100" s="2"/>
      <c r="T100" s="2">
        <v>24300</v>
      </c>
      <c r="U100" s="2"/>
      <c r="V100" s="19">
        <f t="shared" si="85"/>
        <v>0</v>
      </c>
      <c r="W100" s="2"/>
      <c r="X100" s="2">
        <f t="shared" si="86"/>
        <v>158740.32</v>
      </c>
      <c r="Y100" s="2"/>
      <c r="Z100" s="19">
        <f t="shared" si="87"/>
        <v>6.5325234567901234</v>
      </c>
    </row>
    <row r="101" spans="1:26" s="24" customFormat="1" hidden="1" outlineLevel="1" x14ac:dyDescent="0.25">
      <c r="A101" s="44"/>
      <c r="B101" s="11" t="str">
        <f>CONCATENATE("          ", "9151", " - ", "MISC. INCOME")</f>
        <v xml:space="preserve">          9151 - MISC. INCOME</v>
      </c>
      <c r="C101" s="11"/>
      <c r="D101" s="2">
        <f>0</f>
        <v>0</v>
      </c>
      <c r="E101" s="2"/>
      <c r="F101" s="19">
        <f t="shared" si="80"/>
        <v>0</v>
      </c>
      <c r="G101" s="2"/>
      <c r="H101" s="2">
        <v>15475</v>
      </c>
      <c r="I101" s="2"/>
      <c r="J101" s="19">
        <f t="shared" si="81"/>
        <v>0</v>
      </c>
      <c r="K101" s="2"/>
      <c r="L101" s="2">
        <f t="shared" si="82"/>
        <v>-15475</v>
      </c>
      <c r="M101" s="2"/>
      <c r="N101" s="19">
        <f t="shared" si="83"/>
        <v>-1</v>
      </c>
      <c r="O101" s="11"/>
      <c r="P101" s="2">
        <f>0</f>
        <v>0</v>
      </c>
      <c r="Q101" s="2"/>
      <c r="R101" s="19">
        <f t="shared" si="84"/>
        <v>0</v>
      </c>
      <c r="S101" s="2"/>
      <c r="T101" s="2">
        <v>152650</v>
      </c>
      <c r="U101" s="2"/>
      <c r="V101" s="19">
        <f t="shared" si="85"/>
        <v>0</v>
      </c>
      <c r="W101" s="2"/>
      <c r="X101" s="2">
        <f t="shared" si="86"/>
        <v>-152650</v>
      </c>
      <c r="Y101" s="2"/>
      <c r="Z101" s="19">
        <f t="shared" si="87"/>
        <v>-1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277</v>
      </c>
      <c r="C103" s="28"/>
      <c r="D103" s="21">
        <f>+D17-D19+D99</f>
        <v>-100836.93999999999</v>
      </c>
      <c r="E103" s="14"/>
      <c r="F103" s="20">
        <f>IF(D$12=0,0,D103/D$12)</f>
        <v>0</v>
      </c>
      <c r="G103" s="14"/>
      <c r="H103" s="21">
        <f>+H17-H19+H99</f>
        <v>-108194.42440175192</v>
      </c>
      <c r="I103" s="14"/>
      <c r="J103" s="20">
        <f>IF(H$12=0,0,H103/H$12)</f>
        <v>0</v>
      </c>
      <c r="K103" s="16"/>
      <c r="L103" s="21">
        <f>+D103-H103</f>
        <v>7357.4844017519354</v>
      </c>
      <c r="M103" s="16"/>
      <c r="N103" s="20">
        <f>IF(H103=0,0,L103/H103)</f>
        <v>-6.800243582267998E-2</v>
      </c>
      <c r="O103" s="29"/>
      <c r="P103" s="21">
        <f>+P17-P19+P99</f>
        <v>-1018598.5299999998</v>
      </c>
      <c r="Q103" s="14"/>
      <c r="R103" s="20">
        <f>IF(P$12=0,0,P103/P$12)</f>
        <v>0</v>
      </c>
      <c r="S103" s="14"/>
      <c r="T103" s="21">
        <f>+T17-T19+T99</f>
        <v>-1267456.114249107</v>
      </c>
      <c r="U103" s="14"/>
      <c r="V103" s="20">
        <f>IF(T$12=0,0,T103/T$12)</f>
        <v>0</v>
      </c>
      <c r="W103" s="16"/>
      <c r="X103" s="21">
        <f>+P103-T103</f>
        <v>248857.58424910717</v>
      </c>
      <c r="Y103" s="16"/>
      <c r="Z103" s="20">
        <f>IF(T103=0,0,X103/T103)</f>
        <v>-0.1963441427686359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128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126</v>
      </c>
      <c r="C107" s="28"/>
      <c r="D107" s="31">
        <f>+D103-D105</f>
        <v>-100836.93999999999</v>
      </c>
      <c r="E107" s="14"/>
      <c r="F107" s="33">
        <f>IF(D$12=0,0,D107/D$12)</f>
        <v>0</v>
      </c>
      <c r="G107" s="14"/>
      <c r="H107" s="31">
        <f>+H103-H105</f>
        <v>-108194.42440175192</v>
      </c>
      <c r="I107" s="14"/>
      <c r="J107" s="33">
        <f>IF(H$12=0,0,H107/H$12)</f>
        <v>0</v>
      </c>
      <c r="K107" s="16"/>
      <c r="L107" s="31">
        <f>D107-H107</f>
        <v>7357.4844017519354</v>
      </c>
      <c r="M107" s="16"/>
      <c r="N107" s="33">
        <f>IF(H107=0,0,L107/H107)</f>
        <v>-6.800243582267998E-2</v>
      </c>
      <c r="O107" s="29"/>
      <c r="P107" s="31">
        <f>+P103-P105</f>
        <v>-1018598.5299999998</v>
      </c>
      <c r="Q107" s="14"/>
      <c r="R107" s="33">
        <f>IF(P$12=0,0,P107/P$12)</f>
        <v>0</v>
      </c>
      <c r="S107" s="14"/>
      <c r="T107" s="31">
        <f>+T103-T105</f>
        <v>-1267456.114249107</v>
      </c>
      <c r="U107" s="14"/>
      <c r="V107" s="33">
        <f>IF(T$12=0,0,T107/T$12)</f>
        <v>0</v>
      </c>
      <c r="W107" s="16"/>
      <c r="X107" s="31">
        <f>P107-T107</f>
        <v>248857.58424910717</v>
      </c>
      <c r="Y107" s="16"/>
      <c r="Z107" s="33">
        <f>IF(T107=0,0,X107/T107)</f>
        <v>-0.1963441427686359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294</v>
      </c>
      <c r="C110" s="28"/>
      <c r="D110" s="34">
        <f>SUM(D107:D109)</f>
        <v>-100836.93999999999</v>
      </c>
      <c r="E110" s="14"/>
      <c r="F110" s="35">
        <f>IF(D$12=0,0,D110/D$12)</f>
        <v>0</v>
      </c>
      <c r="G110" s="14"/>
      <c r="H110" s="34">
        <f>SUM(H107:H109)</f>
        <v>-108194.42440175192</v>
      </c>
      <c r="I110" s="14"/>
      <c r="J110" s="35">
        <f>IF(H$12=0,0,H110/H$12)</f>
        <v>0</v>
      </c>
      <c r="K110" s="16"/>
      <c r="L110" s="34">
        <f>+D110-H110</f>
        <v>7357.4844017519354</v>
      </c>
      <c r="M110" s="16"/>
      <c r="N110" s="35">
        <f>IF(H110=0,0,L110/H110)</f>
        <v>-6.800243582267998E-2</v>
      </c>
      <c r="O110" s="29"/>
      <c r="P110" s="34">
        <f>SUM(P107:P109)</f>
        <v>-1018598.5299999998</v>
      </c>
      <c r="Q110" s="14"/>
      <c r="R110" s="35">
        <f>IF(P$12=0,0,P110/P$12)</f>
        <v>0</v>
      </c>
      <c r="S110" s="14"/>
      <c r="T110" s="34">
        <f>SUM(T107:T109)</f>
        <v>-1267456.114249107</v>
      </c>
      <c r="U110" s="14"/>
      <c r="V110" s="35">
        <f>IF(T$12=0,0,T110/T$12)</f>
        <v>0</v>
      </c>
      <c r="W110" s="16"/>
      <c r="X110" s="34">
        <f>+P110-T110</f>
        <v>248857.58424910717</v>
      </c>
      <c r="Y110" s="16"/>
      <c r="Z110" s="35">
        <f>IF(T110=0,0,X110/T110)</f>
        <v>-0.1963441427686359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2">
        <v>44330.0058283912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6" t="s">
        <v>56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5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0</v>
      </c>
      <c r="E18" s="22"/>
      <c r="F18" s="32">
        <f t="shared" ref="F18:F28" si="0">IF(D$12=0,0,D18/D$12)</f>
        <v>0</v>
      </c>
      <c r="G18" s="22"/>
      <c r="H18" s="22">
        <f>SUM(OSRRefH22x_0)</f>
        <v>0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0</v>
      </c>
      <c r="M18" s="4"/>
      <c r="N18" s="32">
        <f t="shared" ref="N18:N28" si="3">IF(H18=0,0,L18/H18)</f>
        <v>0</v>
      </c>
      <c r="O18" s="10"/>
      <c r="P18" s="22">
        <f>SUM(OSRRefP22x_0)</f>
        <v>0.37000000000004318</v>
      </c>
      <c r="Q18" s="22"/>
      <c r="R18" s="32">
        <f t="shared" ref="R18:R28" si="4">IF(P$12=0,0,P18/P$12)</f>
        <v>0</v>
      </c>
      <c r="S18" s="22"/>
      <c r="T18" s="22">
        <f>SUM(OSRRefT22x_0)</f>
        <v>0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0.37000000000004318</v>
      </c>
      <c r="Y18" s="4"/>
      <c r="Z18" s="32">
        <f t="shared" ref="Z18:Z28" si="7">IF(T18=0,0,X18/T18)</f>
        <v>0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0.1400000000000432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402.04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402.04</v>
      </c>
      <c r="Y20" s="2"/>
      <c r="Z20" s="6">
        <f t="shared" si="7"/>
        <v>0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0</v>
      </c>
      <c r="Y21" s="2"/>
      <c r="Z21" s="6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0</v>
      </c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0</v>
      </c>
      <c r="Y23" s="2"/>
      <c r="Z23" s="6">
        <f t="shared" si="7"/>
        <v>0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0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-401.9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-401.9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0</v>
      </c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/>
      <c r="Q28" s="2"/>
      <c r="R28" s="6">
        <f t="shared" si="4"/>
        <v>0</v>
      </c>
      <c r="S28" s="2"/>
      <c r="T28" s="7">
        <v>0</v>
      </c>
      <c r="U28" s="2"/>
      <c r="V28" s="6">
        <f t="shared" si="5"/>
        <v>0</v>
      </c>
      <c r="W28" s="2"/>
      <c r="X28" s="7">
        <f t="shared" si="6"/>
        <v>0</v>
      </c>
      <c r="Y28" s="2"/>
      <c r="Z28" s="6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0</v>
      </c>
      <c r="M29" s="1"/>
      <c r="N29" s="5">
        <f t="shared" ref="N29:N39" si="11">IF(H29=0,0,L29/H29)</f>
        <v>0</v>
      </c>
      <c r="O29" s="13"/>
      <c r="P29" s="1">
        <f>SUM(OSRRefP22_1x_0)</f>
        <v>0.23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0.23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0.23</v>
      </c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0.23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0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0" si="16">IF(D$12=0,0,D40/D$12)</f>
        <v>0</v>
      </c>
      <c r="G40" s="1"/>
      <c r="H40" s="1">
        <f>SUM(OSRRefH22_2x_0)</f>
        <v>0</v>
      </c>
      <c r="I40" s="1"/>
      <c r="J40" s="5">
        <f t="shared" ref="J40:J50" si="17">IF(H$12=0,0,H40/H$12)</f>
        <v>0</v>
      </c>
      <c r="K40" s="1"/>
      <c r="L40" s="1">
        <f t="shared" ref="L40:L50" si="18">+D40-H40</f>
        <v>0</v>
      </c>
      <c r="M40" s="1"/>
      <c r="N40" s="5">
        <f t="shared" ref="N40:N50" si="19">IF(H40=0,0,L40/H40)</f>
        <v>0</v>
      </c>
      <c r="O40" s="13"/>
      <c r="P40" s="1">
        <f>SUM(OSRRefP22_2x_0)</f>
        <v>0</v>
      </c>
      <c r="Q40" s="1"/>
      <c r="R40" s="5">
        <f t="shared" ref="R40:R50" si="20">IF(P$12=0,0,P40/P$12)</f>
        <v>0</v>
      </c>
      <c r="S40" s="1"/>
      <c r="T40" s="1">
        <f>SUM(OSRRefT22_2x_0)</f>
        <v>0</v>
      </c>
      <c r="U40" s="1"/>
      <c r="V40" s="5">
        <f t="shared" ref="V40:V50" si="21">IF(T$12=0,0,T40/T$12)</f>
        <v>0</v>
      </c>
      <c r="W40" s="1"/>
      <c r="X40" s="1">
        <f t="shared" ref="X40:X50" si="22">+P40-T40</f>
        <v>0</v>
      </c>
      <c r="Y40" s="1"/>
      <c r="Z40" s="5">
        <f t="shared" ref="Z40:Z50" si="23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5" customFormat="1" outlineLevel="1" collapsed="1" x14ac:dyDescent="0.25">
      <c r="A44" s="27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0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6"/>
      <c r="B45" s="11" t="str">
        <f>CONCATENATE("          ", "6351", " - ", "EQUIPMENT RENTAL")</f>
        <v xml:space="preserve">          6351 - EQUIPMENT RENTAL</v>
      </c>
      <c r="C45" s="11"/>
      <c r="D45" s="7"/>
      <c r="E45" s="2"/>
      <c r="F45" s="6">
        <f t="shared" si="16"/>
        <v>0</v>
      </c>
      <c r="G45" s="2"/>
      <c r="H45" s="7">
        <v>0</v>
      </c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0</v>
      </c>
      <c r="Q45" s="2"/>
      <c r="R45" s="6">
        <f t="shared" si="20"/>
        <v>0</v>
      </c>
      <c r="S45" s="2"/>
      <c r="T45" s="7">
        <v>0</v>
      </c>
      <c r="U45" s="2"/>
      <c r="V45" s="6">
        <f t="shared" si="21"/>
        <v>0</v>
      </c>
      <c r="W45" s="2"/>
      <c r="X45" s="7">
        <f t="shared" si="22"/>
        <v>0</v>
      </c>
      <c r="Y45" s="2"/>
      <c r="Z45" s="6">
        <f t="shared" si="23"/>
        <v>0</v>
      </c>
    </row>
    <row r="46" spans="1:26" s="25" customFormat="1" outlineLevel="1" collapsed="1" x14ac:dyDescent="0.25">
      <c r="A46" s="27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16"/>
        <v>0</v>
      </c>
      <c r="G47" s="2"/>
      <c r="H47" s="7">
        <v>0</v>
      </c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0</v>
      </c>
      <c r="Q47" s="2"/>
      <c r="R47" s="6">
        <f t="shared" si="20"/>
        <v>0</v>
      </c>
      <c r="S47" s="2"/>
      <c r="T47" s="7">
        <v>0</v>
      </c>
      <c r="U47" s="2"/>
      <c r="V47" s="6">
        <f t="shared" si="21"/>
        <v>0</v>
      </c>
      <c r="W47" s="2"/>
      <c r="X47" s="7">
        <f t="shared" si="22"/>
        <v>0</v>
      </c>
      <c r="Y47" s="2"/>
      <c r="Z47" s="6">
        <f t="shared" si="23"/>
        <v>0</v>
      </c>
    </row>
    <row r="48" spans="1:26" s="25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7"/>
      <c r="E49" s="2"/>
      <c r="F49" s="6">
        <f t="shared" si="16"/>
        <v>0</v>
      </c>
      <c r="G49" s="2"/>
      <c r="H49" s="7">
        <v>0</v>
      </c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0</v>
      </c>
      <c r="Q49" s="2"/>
      <c r="R49" s="6">
        <f t="shared" si="20"/>
        <v>0</v>
      </c>
      <c r="S49" s="2"/>
      <c r="T49" s="7">
        <v>0</v>
      </c>
      <c r="U49" s="2"/>
      <c r="V49" s="6">
        <f t="shared" si="21"/>
        <v>0</v>
      </c>
      <c r="W49" s="2"/>
      <c r="X49" s="7">
        <f t="shared" si="22"/>
        <v>0</v>
      </c>
      <c r="Y49" s="2"/>
      <c r="Z49" s="6">
        <f t="shared" si="23"/>
        <v>0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0</v>
      </c>
      <c r="M50" s="2"/>
      <c r="N50" s="6">
        <f t="shared" si="19"/>
        <v>0</v>
      </c>
      <c r="O50" s="11"/>
      <c r="P50" s="7"/>
      <c r="Q50" s="2"/>
      <c r="R50" s="6">
        <f t="shared" si="20"/>
        <v>0</v>
      </c>
      <c r="S50" s="2"/>
      <c r="T50" s="7">
        <v>0</v>
      </c>
      <c r="U50" s="2"/>
      <c r="V50" s="6">
        <f t="shared" si="21"/>
        <v>0</v>
      </c>
      <c r="W50" s="2"/>
      <c r="X50" s="7">
        <f t="shared" si="22"/>
        <v>0</v>
      </c>
      <c r="Y50" s="2"/>
      <c r="Z50" s="6">
        <f t="shared" si="23"/>
        <v>0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0</v>
      </c>
      <c r="E51" s="1"/>
      <c r="F51" s="5">
        <f t="shared" ref="F51:F53" si="24">IF(D$12=0,0,D51/D$12)</f>
        <v>0</v>
      </c>
      <c r="G51" s="1"/>
      <c r="H51" s="1">
        <f>SUM(OSRRefH22_7x_0)</f>
        <v>0</v>
      </c>
      <c r="I51" s="1"/>
      <c r="J51" s="5">
        <f t="shared" ref="J51:J53" si="25">IF(H$12=0,0,H51/H$12)</f>
        <v>0</v>
      </c>
      <c r="K51" s="1"/>
      <c r="L51" s="1">
        <f t="shared" ref="L51:L53" si="26">+D51-H51</f>
        <v>0</v>
      </c>
      <c r="M51" s="1"/>
      <c r="N51" s="5">
        <f t="shared" ref="N51:N53" si="27">IF(H51=0,0,L51/H51)</f>
        <v>0</v>
      </c>
      <c r="O51" s="13"/>
      <c r="P51" s="1">
        <f>SUM(OSRRefP22_7x_0)</f>
        <v>0</v>
      </c>
      <c r="Q51" s="1"/>
      <c r="R51" s="5">
        <f t="shared" ref="R51:R53" si="28">IF(P$12=0,0,P51/P$12)</f>
        <v>0</v>
      </c>
      <c r="S51" s="1"/>
      <c r="T51" s="1">
        <f>SUM(OSRRefT22_7x_0)</f>
        <v>0</v>
      </c>
      <c r="U51" s="1"/>
      <c r="V51" s="5">
        <f t="shared" ref="V51:V53" si="29">IF(T$12=0,0,T51/T$12)</f>
        <v>0</v>
      </c>
      <c r="W51" s="1"/>
      <c r="X51" s="1">
        <f t="shared" ref="X51:X53" si="30">+P51-T51</f>
        <v>0</v>
      </c>
      <c r="Y51" s="1"/>
      <c r="Z51" s="5">
        <f t="shared" ref="Z51:Z53" si="31">IF(T51=0,0,X51/T51)</f>
        <v>0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7"/>
      <c r="E52" s="2"/>
      <c r="F52" s="6">
        <f t="shared" si="24"/>
        <v>0</v>
      </c>
      <c r="G52" s="2"/>
      <c r="H52" s="7">
        <v>0</v>
      </c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0</v>
      </c>
      <c r="Y52" s="2"/>
      <c r="Z52" s="6">
        <f t="shared" si="31"/>
        <v>0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7"/>
      <c r="E53" s="2"/>
      <c r="F53" s="6">
        <f t="shared" si="24"/>
        <v>0</v>
      </c>
      <c r="G53" s="2"/>
      <c r="H53" s="7">
        <v>0</v>
      </c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0</v>
      </c>
      <c r="U53" s="2"/>
      <c r="V53" s="6">
        <f t="shared" si="29"/>
        <v>0</v>
      </c>
      <c r="W53" s="2"/>
      <c r="X53" s="7">
        <f t="shared" si="30"/>
        <v>0</v>
      </c>
      <c r="Y53" s="2"/>
      <c r="Z53" s="6">
        <f t="shared" si="31"/>
        <v>0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0</v>
      </c>
      <c r="E54" s="1"/>
      <c r="F54" s="5">
        <f t="shared" ref="F54:F59" si="32">IF(D$12=0,0,D54/D$12)</f>
        <v>0</v>
      </c>
      <c r="G54" s="1"/>
      <c r="H54" s="1">
        <f>SUM(OSRRefH22_8x_0)</f>
        <v>0</v>
      </c>
      <c r="I54" s="1"/>
      <c r="J54" s="5">
        <f t="shared" ref="J54:J59" si="33">IF(H$12=0,0,H54/H$12)</f>
        <v>0</v>
      </c>
      <c r="K54" s="1"/>
      <c r="L54" s="1">
        <f t="shared" ref="L54:L59" si="34">+D54-H54</f>
        <v>0</v>
      </c>
      <c r="M54" s="1"/>
      <c r="N54" s="5">
        <f t="shared" ref="N54:N59" si="35">IF(H54=0,0,L54/H54)</f>
        <v>0</v>
      </c>
      <c r="O54" s="13"/>
      <c r="P54" s="1">
        <f>SUM(OSRRefP22_8x_0)</f>
        <v>0</v>
      </c>
      <c r="Q54" s="1"/>
      <c r="R54" s="5">
        <f t="shared" ref="R54:R59" si="36">IF(P$12=0,0,P54/P$12)</f>
        <v>0</v>
      </c>
      <c r="S54" s="1"/>
      <c r="T54" s="1">
        <f>SUM(OSRRefT22_8x_0)</f>
        <v>0</v>
      </c>
      <c r="U54" s="1"/>
      <c r="V54" s="5">
        <f t="shared" ref="V54:V59" si="37">IF(T$12=0,0,T54/T$12)</f>
        <v>0</v>
      </c>
      <c r="W54" s="1"/>
      <c r="X54" s="1">
        <f t="shared" ref="X54:X59" si="38">+P54-T54</f>
        <v>0</v>
      </c>
      <c r="Y54" s="1"/>
      <c r="Z54" s="5">
        <f t="shared" ref="Z54:Z59" si="39">IF(T54=0,0,X54/T54)</f>
        <v>0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7"/>
      <c r="E55" s="2"/>
      <c r="F55" s="6">
        <f t="shared" si="32"/>
        <v>0</v>
      </c>
      <c r="G55" s="2"/>
      <c r="H55" s="7">
        <v>0</v>
      </c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0</v>
      </c>
      <c r="Q55" s="2"/>
      <c r="R55" s="6">
        <f t="shared" si="36"/>
        <v>0</v>
      </c>
      <c r="S55" s="2"/>
      <c r="T55" s="7">
        <v>0</v>
      </c>
      <c r="U55" s="2"/>
      <c r="V55" s="6">
        <f t="shared" si="37"/>
        <v>0</v>
      </c>
      <c r="W55" s="2"/>
      <c r="X55" s="7">
        <f t="shared" si="38"/>
        <v>0</v>
      </c>
      <c r="Y55" s="2"/>
      <c r="Z55" s="6">
        <f t="shared" si="39"/>
        <v>0</v>
      </c>
    </row>
    <row r="56" spans="1:26" s="25" customFormat="1" outlineLevel="1" collapsed="1" x14ac:dyDescent="0.25">
      <c r="A56" s="27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0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0</v>
      </c>
      <c r="Y56" s="1"/>
      <c r="Z56" s="5">
        <f t="shared" si="39"/>
        <v>0</v>
      </c>
    </row>
    <row r="57" spans="1:26" s="24" customFormat="1" hidden="1" outlineLevel="2" x14ac:dyDescent="0.25">
      <c r="A57" s="26"/>
      <c r="B57" s="11" t="str">
        <f>CONCATENATE("          ", "6292", " - ", "TRAVEL/CONFERENCE")</f>
        <v xml:space="preserve">          6292 - TRAVEL/CONFERENCE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0</v>
      </c>
      <c r="U57" s="2"/>
      <c r="V57" s="6">
        <f t="shared" si="37"/>
        <v>0</v>
      </c>
      <c r="W57" s="2"/>
      <c r="X57" s="7">
        <f t="shared" si="38"/>
        <v>0</v>
      </c>
      <c r="Y57" s="2"/>
      <c r="Z57" s="6">
        <f t="shared" si="39"/>
        <v>0</v>
      </c>
    </row>
    <row r="58" spans="1:26" s="25" customFormat="1" outlineLevel="1" collapsed="1" x14ac:dyDescent="0.25">
      <c r="A58" s="27"/>
      <c r="B58" s="13" t="str">
        <f>CONCATENATE("     ","Utilities                                         ")</f>
        <v xml:space="preserve">     Utilities                                         </v>
      </c>
      <c r="C58" s="13"/>
      <c r="D58" s="1">
        <f>SUM(OSRRefD22_10x_0)</f>
        <v>0</v>
      </c>
      <c r="E58" s="1"/>
      <c r="F58" s="5">
        <f t="shared" si="32"/>
        <v>0</v>
      </c>
      <c r="G58" s="1"/>
      <c r="H58" s="1">
        <f>SUM(OSRRefH22_10x_0)</f>
        <v>0</v>
      </c>
      <c r="I58" s="1"/>
      <c r="J58" s="5">
        <f t="shared" si="33"/>
        <v>0</v>
      </c>
      <c r="K58" s="1"/>
      <c r="L58" s="1">
        <f t="shared" si="34"/>
        <v>0</v>
      </c>
      <c r="M58" s="1"/>
      <c r="N58" s="5">
        <f t="shared" si="35"/>
        <v>0</v>
      </c>
      <c r="O58" s="13"/>
      <c r="P58" s="1">
        <f>SUM(OSRRefP22_10x_0)</f>
        <v>0</v>
      </c>
      <c r="Q58" s="1"/>
      <c r="R58" s="5">
        <f t="shared" si="36"/>
        <v>0</v>
      </c>
      <c r="S58" s="1"/>
      <c r="T58" s="1">
        <f>SUM(OSRRefT22_10x_0)</f>
        <v>0</v>
      </c>
      <c r="U58" s="1"/>
      <c r="V58" s="5">
        <f t="shared" si="37"/>
        <v>0</v>
      </c>
      <c r="W58" s="1"/>
      <c r="X58" s="1">
        <f t="shared" si="38"/>
        <v>0</v>
      </c>
      <c r="Y58" s="1"/>
      <c r="Z58" s="5">
        <f t="shared" si="39"/>
        <v>0</v>
      </c>
    </row>
    <row r="59" spans="1:26" s="24" customFormat="1" hidden="1" outlineLevel="2" x14ac:dyDescent="0.25">
      <c r="A59" s="26"/>
      <c r="B59" s="11" t="str">
        <f>CONCATENATE("          ", "6274", " - ", "UTILITIES")</f>
        <v xml:space="preserve">          6274 - UTILITIES</v>
      </c>
      <c r="C59" s="11"/>
      <c r="D59" s="7"/>
      <c r="E59" s="2"/>
      <c r="F59" s="6">
        <f t="shared" si="32"/>
        <v>0</v>
      </c>
      <c r="G59" s="2"/>
      <c r="H59" s="7">
        <v>0</v>
      </c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/>
      <c r="Q59" s="2"/>
      <c r="R59" s="6">
        <f t="shared" si="36"/>
        <v>0</v>
      </c>
      <c r="S59" s="2"/>
      <c r="T59" s="7">
        <v>0</v>
      </c>
      <c r="U59" s="2"/>
      <c r="V59" s="6">
        <f t="shared" si="37"/>
        <v>0</v>
      </c>
      <c r="W59" s="2"/>
      <c r="X59" s="7">
        <f t="shared" si="38"/>
        <v>0</v>
      </c>
      <c r="Y59" s="2"/>
      <c r="Z59" s="6">
        <f t="shared" si="39"/>
        <v>0</v>
      </c>
    </row>
    <row r="60" spans="1:26" s="61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293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277</v>
      </c>
      <c r="C63" s="28"/>
      <c r="D63" s="21">
        <f>+D16-D18+D61</f>
        <v>0</v>
      </c>
      <c r="E63" s="14"/>
      <c r="F63" s="20">
        <f>IF(D$12=0,0,D63/D$12)</f>
        <v>0</v>
      </c>
      <c r="G63" s="14"/>
      <c r="H63" s="21">
        <f>+H16-H18+H61</f>
        <v>0</v>
      </c>
      <c r="I63" s="14"/>
      <c r="J63" s="20">
        <f>IF(H$12=0,0,H63/H$12)</f>
        <v>0</v>
      </c>
      <c r="K63" s="16"/>
      <c r="L63" s="21">
        <f>+D63-H63</f>
        <v>0</v>
      </c>
      <c r="M63" s="16"/>
      <c r="N63" s="20">
        <f>IF(H63=0,0,L63/H63)</f>
        <v>0</v>
      </c>
      <c r="O63" s="29"/>
      <c r="P63" s="21">
        <f>+P16-P18+P61</f>
        <v>-0.37000000000004318</v>
      </c>
      <c r="Q63" s="14"/>
      <c r="R63" s="20">
        <f>IF(P$12=0,0,P63/P$12)</f>
        <v>0</v>
      </c>
      <c r="S63" s="14"/>
      <c r="T63" s="21">
        <f>+T16-T18+T61</f>
        <v>0</v>
      </c>
      <c r="U63" s="14"/>
      <c r="V63" s="20">
        <f>IF(T$12=0,0,T63/T$12)</f>
        <v>0</v>
      </c>
      <c r="W63" s="16"/>
      <c r="X63" s="21">
        <f>+P63-T63</f>
        <v>-0.37000000000004318</v>
      </c>
      <c r="Y63" s="16"/>
      <c r="Z63" s="20">
        <f>IF(T63=0,0,X63/T63)</f>
        <v>0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128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126</v>
      </c>
      <c r="C67" s="28"/>
      <c r="D67" s="31">
        <f>+D63-D65</f>
        <v>0</v>
      </c>
      <c r="E67" s="14"/>
      <c r="F67" s="33">
        <f>IF(D$12=0,0,D67/D$12)</f>
        <v>0</v>
      </c>
      <c r="G67" s="14"/>
      <c r="H67" s="31">
        <f>+H63-H65</f>
        <v>0</v>
      </c>
      <c r="I67" s="14"/>
      <c r="J67" s="33">
        <f>IF(H$12=0,0,H67/H$12)</f>
        <v>0</v>
      </c>
      <c r="K67" s="16"/>
      <c r="L67" s="31">
        <f>D67-H67</f>
        <v>0</v>
      </c>
      <c r="M67" s="16"/>
      <c r="N67" s="33">
        <f>IF(H67=0,0,L67/H67)</f>
        <v>0</v>
      </c>
      <c r="O67" s="29"/>
      <c r="P67" s="31">
        <f>+P63-P65</f>
        <v>-0.37000000000004318</v>
      </c>
      <c r="Q67" s="14"/>
      <c r="R67" s="33">
        <f>IF(P$12=0,0,P67/P$12)</f>
        <v>0</v>
      </c>
      <c r="S67" s="14"/>
      <c r="T67" s="31">
        <f>+T63-T65</f>
        <v>0</v>
      </c>
      <c r="U67" s="14"/>
      <c r="V67" s="33">
        <f>IF(T$12=0,0,T67/T$12)</f>
        <v>0</v>
      </c>
      <c r="W67" s="16"/>
      <c r="X67" s="31">
        <f>P67-T67</f>
        <v>-0.37000000000004318</v>
      </c>
      <c r="Y67" s="16"/>
      <c r="Z67" s="33">
        <f>IF(T67=0,0,X67/T67)</f>
        <v>0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294</v>
      </c>
      <c r="C70" s="28"/>
      <c r="D70" s="34">
        <f>SUM(D67:D69)</f>
        <v>0</v>
      </c>
      <c r="E70" s="14"/>
      <c r="F70" s="35">
        <f>IF(D$12=0,0,D70/D$12)</f>
        <v>0</v>
      </c>
      <c r="G70" s="14"/>
      <c r="H70" s="34">
        <f>SUM(H67:H69)</f>
        <v>0</v>
      </c>
      <c r="I70" s="14"/>
      <c r="J70" s="35">
        <f>IF(H$12=0,0,H70/H$12)</f>
        <v>0</v>
      </c>
      <c r="K70" s="16"/>
      <c r="L70" s="34">
        <f>+D70-H70</f>
        <v>0</v>
      </c>
      <c r="M70" s="16"/>
      <c r="N70" s="35">
        <f>IF(H70=0,0,L70/H70)</f>
        <v>0</v>
      </c>
      <c r="O70" s="29"/>
      <c r="P70" s="34">
        <f>SUM(P67:P69)</f>
        <v>-0.37000000000004318</v>
      </c>
      <c r="Q70" s="14"/>
      <c r="R70" s="35">
        <f>IF(P$12=0,0,P70/P$12)</f>
        <v>0</v>
      </c>
      <c r="S70" s="14"/>
      <c r="T70" s="34">
        <f>SUM(T67:T69)</f>
        <v>0</v>
      </c>
      <c r="U70" s="14"/>
      <c r="V70" s="35">
        <f>IF(T$12=0,0,T70/T$12)</f>
        <v>0</v>
      </c>
      <c r="W70" s="16"/>
      <c r="X70" s="34">
        <f>+P70-T70</f>
        <v>-0.37000000000004318</v>
      </c>
      <c r="Y70" s="16"/>
      <c r="Z70" s="35">
        <f>IF(T70=0,0,X70/T70)</f>
        <v>0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2">
        <v>44330.0058283912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 t="s">
        <v>56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5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81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22545</v>
      </c>
      <c r="I12" s="4"/>
      <c r="J12" s="12"/>
      <c r="K12" s="4"/>
      <c r="L12" s="4">
        <f t="shared" ref="L12:L26" si="0">+D12-H12</f>
        <v>-22545</v>
      </c>
      <c r="M12" s="4"/>
      <c r="N12" s="12">
        <f t="shared" ref="N12:N26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152532</v>
      </c>
      <c r="U12" s="4"/>
      <c r="V12" s="12"/>
      <c r="W12" s="4"/>
      <c r="X12" s="4">
        <f t="shared" ref="X12:X26" si="2">+P12-T12</f>
        <v>-131220.08000000002</v>
      </c>
      <c r="Y12" s="4"/>
      <c r="Z12" s="12">
        <f t="shared" ref="Z12:Z26" si="3">IF(T12=0,0,X12/T12)</f>
        <v>-0.86027902341803697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22545</v>
      </c>
      <c r="I20" s="2"/>
      <c r="J20" s="19"/>
      <c r="K20" s="2"/>
      <c r="L20" s="2">
        <f t="shared" si="0"/>
        <v>-22545</v>
      </c>
      <c r="M20" s="2"/>
      <c r="N20" s="19">
        <f t="shared" si="1"/>
        <v>-1</v>
      </c>
      <c r="O20" s="11"/>
      <c r="P20" s="2">
        <f t="shared" ref="P20:P21" si="5">0</f>
        <v>0</v>
      </c>
      <c r="Q20" s="2"/>
      <c r="R20" s="19"/>
      <c r="S20" s="2"/>
      <c r="T20" s="2">
        <v>152532</v>
      </c>
      <c r="U20" s="2"/>
      <c r="V20" s="19"/>
      <c r="W20" s="2"/>
      <c r="X20" s="2">
        <f t="shared" si="2"/>
        <v>-152532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--1847.16</f>
        <v>1847.16</v>
      </c>
      <c r="Q22" s="2"/>
      <c r="R22" s="19"/>
      <c r="S22" s="2"/>
      <c r="T22" s="2"/>
      <c r="U22" s="2"/>
      <c r="V22" s="19"/>
      <c r="W22" s="2"/>
      <c r="X22" s="2">
        <f t="shared" si="2"/>
        <v>1847.16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/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"4226", " - ", "SALES RETURN TAXABLE-WRITING I")</f>
        <v xml:space="preserve">          4226 - SALES RETURN TAXABLE-WRITING I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6"/>
        <v>0</v>
      </c>
      <c r="Q24" s="2"/>
      <c r="R24" s="19"/>
      <c r="S24" s="2"/>
      <c r="T24" s="2"/>
      <c r="U24" s="2"/>
      <c r="V24" s="19"/>
      <c r="W24" s="2"/>
      <c r="X24" s="2">
        <f t="shared" si="2"/>
        <v>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"4227", " - ", "SALES RETURN TAXABLE-SCHOOL SU")</f>
        <v xml:space="preserve">          4227 - SALES RETURN TAXABLE-SCHOOL SU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-159.97</f>
        <v>-159.97</v>
      </c>
      <c r="Q25" s="2"/>
      <c r="R25" s="19"/>
      <c r="S25" s="2"/>
      <c r="T25" s="2"/>
      <c r="U25" s="2"/>
      <c r="V25" s="19"/>
      <c r="W25" s="2"/>
      <c r="X25" s="2">
        <f t="shared" si="2"/>
        <v>-159.97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"4228", " - ", "SALES RETURN TAXABLE-ART/TECH")</f>
        <v xml:space="preserve">          4228 - SALES RETURN TAXABLE-ART/TECH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-222.2</f>
        <v>-222.2</v>
      </c>
      <c r="Q26" s="2"/>
      <c r="R26" s="19"/>
      <c r="S26" s="2"/>
      <c r="T26" s="2"/>
      <c r="U26" s="2"/>
      <c r="V26" s="19"/>
      <c r="W26" s="2"/>
      <c r="X26" s="2">
        <f t="shared" si="2"/>
        <v>-222.2</v>
      </c>
      <c r="Y26" s="2"/>
      <c r="Z26" s="19">
        <f t="shared" si="3"/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collapsed="1" x14ac:dyDescent="0.25">
      <c r="A28" s="10"/>
      <c r="B28" s="29" t="s">
        <v>257</v>
      </c>
      <c r="C28" s="10"/>
      <c r="D28" s="4">
        <f>SUM(OSRRefD16x_0)</f>
        <v>19.489999999999998</v>
      </c>
      <c r="E28" s="4"/>
      <c r="F28" s="12">
        <f t="shared" ref="F28:F36" si="7">IF(D$12=0,0,D28/D$12)</f>
        <v>0</v>
      </c>
      <c r="G28" s="4"/>
      <c r="H28" s="4">
        <f>SUM(OSRRefH16x_0)</f>
        <v>11295</v>
      </c>
      <c r="I28" s="4"/>
      <c r="J28" s="12">
        <f t="shared" ref="J28:J36" si="8">IF(H$12=0,0,H28/H$12)</f>
        <v>0.50099800399201599</v>
      </c>
      <c r="K28" s="4"/>
      <c r="L28" s="4">
        <f t="shared" ref="L28:L36" si="9">+D28-H28</f>
        <v>-11275.51</v>
      </c>
      <c r="M28" s="4"/>
      <c r="N28" s="12">
        <f t="shared" ref="N28:N36" si="10">IF(H28=0,0,L28/H28)</f>
        <v>-0.99827445772465695</v>
      </c>
      <c r="O28" s="10"/>
      <c r="P28" s="4">
        <f>SUM(OSRRefP16x_0)</f>
        <v>13792.989999999994</v>
      </c>
      <c r="Q28" s="4"/>
      <c r="R28" s="12">
        <f t="shared" ref="R28:R36" si="11">IF(P$12=0,0,P28/P$12)</f>
        <v>0.64719602926437392</v>
      </c>
      <c r="S28" s="4"/>
      <c r="T28" s="4">
        <f>SUM(OSRRefT16x_0)</f>
        <v>77221</v>
      </c>
      <c r="U28" s="4"/>
      <c r="V28" s="12">
        <f t="shared" ref="V28:V36" si="12">IF(T$12=0,0,T28/T$12)</f>
        <v>0.50626098130228414</v>
      </c>
      <c r="W28" s="4"/>
      <c r="X28" s="4">
        <f t="shared" ref="X28:X36" si="13">+P28-T28</f>
        <v>-63428.010000000009</v>
      </c>
      <c r="Y28" s="4"/>
      <c r="Z28" s="12">
        <f t="shared" ref="Z28:Z36" si="14">IF(T28=0,0,X28/T28)</f>
        <v>-0.82138291397417817</v>
      </c>
    </row>
    <row r="29" spans="1:26" s="24" customFormat="1" hidden="1" outlineLevel="1" x14ac:dyDescent="0.25">
      <c r="A29" s="44"/>
      <c r="B29" s="11" t="str">
        <f>CONCATENATE("          ", "5000", " - ", "PURCHASES @ COST")</f>
        <v xml:space="preserve">          5000 - PURCHASES @ COST</v>
      </c>
      <c r="C29" s="11"/>
      <c r="D29" s="2"/>
      <c r="E29" s="2"/>
      <c r="F29" s="19">
        <f t="shared" si="7"/>
        <v>0</v>
      </c>
      <c r="G29" s="2"/>
      <c r="H29" s="2">
        <v>11295</v>
      </c>
      <c r="I29" s="2"/>
      <c r="J29" s="19">
        <f t="shared" si="8"/>
        <v>0.50099800399201599</v>
      </c>
      <c r="K29" s="2"/>
      <c r="L29" s="2">
        <f t="shared" si="9"/>
        <v>-11295</v>
      </c>
      <c r="M29" s="2"/>
      <c r="N29" s="19">
        <f t="shared" si="10"/>
        <v>-1</v>
      </c>
      <c r="O29" s="11"/>
      <c r="P29" s="2"/>
      <c r="Q29" s="2"/>
      <c r="R29" s="19">
        <f t="shared" si="11"/>
        <v>0</v>
      </c>
      <c r="S29" s="2"/>
      <c r="T29" s="2">
        <v>77221</v>
      </c>
      <c r="U29" s="2"/>
      <c r="V29" s="19">
        <f t="shared" si="12"/>
        <v>0.50626098130228414</v>
      </c>
      <c r="W29" s="2"/>
      <c r="X29" s="2">
        <f t="shared" si="13"/>
        <v>-77221</v>
      </c>
      <c r="Y29" s="2"/>
      <c r="Z29" s="19">
        <f t="shared" si="14"/>
        <v>-1</v>
      </c>
    </row>
    <row r="30" spans="1:26" s="24" customFormat="1" hidden="1" outlineLevel="1" x14ac:dyDescent="0.25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/>
      <c r="E30" s="2"/>
      <c r="F30" s="19">
        <f t="shared" si="7"/>
        <v>0</v>
      </c>
      <c r="G30" s="2"/>
      <c r="H30" s="2"/>
      <c r="I30" s="2"/>
      <c r="J30" s="19">
        <f t="shared" si="8"/>
        <v>0</v>
      </c>
      <c r="K30" s="2"/>
      <c r="L30" s="2">
        <f t="shared" si="9"/>
        <v>0</v>
      </c>
      <c r="M30" s="2"/>
      <c r="N30" s="19">
        <f t="shared" si="10"/>
        <v>0</v>
      </c>
      <c r="O30" s="11"/>
      <c r="P30" s="2">
        <v>364.91</v>
      </c>
      <c r="Q30" s="2"/>
      <c r="R30" s="19">
        <f t="shared" si="11"/>
        <v>1.7122342801587094E-2</v>
      </c>
      <c r="S30" s="2"/>
      <c r="T30" s="2"/>
      <c r="U30" s="2"/>
      <c r="V30" s="19">
        <f t="shared" si="12"/>
        <v>0</v>
      </c>
      <c r="W30" s="2"/>
      <c r="X30" s="2">
        <f t="shared" si="13"/>
        <v>364.91</v>
      </c>
      <c r="Y30" s="2"/>
      <c r="Z30" s="19">
        <f t="shared" si="14"/>
        <v>0</v>
      </c>
    </row>
    <row r="31" spans="1:26" s="24" customFormat="1" hidden="1" outlineLevel="1" x14ac:dyDescent="0.25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7"/>
        <v>0</v>
      </c>
      <c r="G31" s="2"/>
      <c r="H31" s="2"/>
      <c r="I31" s="2"/>
      <c r="J31" s="19">
        <f t="shared" si="8"/>
        <v>0</v>
      </c>
      <c r="K31" s="2"/>
      <c r="L31" s="2">
        <f t="shared" si="9"/>
        <v>0</v>
      </c>
      <c r="M31" s="2"/>
      <c r="N31" s="19">
        <f t="shared" si="10"/>
        <v>0</v>
      </c>
      <c r="O31" s="11"/>
      <c r="P31" s="2">
        <v>895.47</v>
      </c>
      <c r="Q31" s="2"/>
      <c r="R31" s="19">
        <f t="shared" si="11"/>
        <v>4.201733114613794E-2</v>
      </c>
      <c r="S31" s="2"/>
      <c r="T31" s="2"/>
      <c r="U31" s="2"/>
      <c r="V31" s="19">
        <f t="shared" si="12"/>
        <v>0</v>
      </c>
      <c r="W31" s="2"/>
      <c r="X31" s="2">
        <f t="shared" si="13"/>
        <v>895.47</v>
      </c>
      <c r="Y31" s="2"/>
      <c r="Z31" s="19">
        <f t="shared" si="14"/>
        <v>0</v>
      </c>
    </row>
    <row r="32" spans="1:26" s="24" customFormat="1" hidden="1" outlineLevel="1" x14ac:dyDescent="0.25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7"/>
        <v>0</v>
      </c>
      <c r="G32" s="2"/>
      <c r="H32" s="2"/>
      <c r="I32" s="2"/>
      <c r="J32" s="19">
        <f t="shared" si="8"/>
        <v>0</v>
      </c>
      <c r="K32" s="2"/>
      <c r="L32" s="2">
        <f t="shared" si="9"/>
        <v>0</v>
      </c>
      <c r="M32" s="2"/>
      <c r="N32" s="19">
        <f t="shared" si="10"/>
        <v>0</v>
      </c>
      <c r="O32" s="11"/>
      <c r="P32" s="2">
        <v>41441.85</v>
      </c>
      <c r="Q32" s="2"/>
      <c r="R32" s="19">
        <f t="shared" si="11"/>
        <v>1.9445385493188789</v>
      </c>
      <c r="S32" s="2"/>
      <c r="T32" s="2"/>
      <c r="U32" s="2"/>
      <c r="V32" s="19">
        <f t="shared" si="12"/>
        <v>0</v>
      </c>
      <c r="W32" s="2"/>
      <c r="X32" s="2">
        <f t="shared" si="13"/>
        <v>41441.85</v>
      </c>
      <c r="Y32" s="2"/>
      <c r="Z32" s="19">
        <f t="shared" si="14"/>
        <v>0</v>
      </c>
    </row>
    <row r="33" spans="1:26" s="24" customFormat="1" hidden="1" outlineLevel="1" x14ac:dyDescent="0.25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7"/>
        <v>0</v>
      </c>
      <c r="G33" s="2"/>
      <c r="H33" s="2"/>
      <c r="I33" s="2"/>
      <c r="J33" s="19">
        <f t="shared" si="8"/>
        <v>0</v>
      </c>
      <c r="K33" s="2"/>
      <c r="L33" s="2">
        <f t="shared" si="9"/>
        <v>0</v>
      </c>
      <c r="M33" s="2"/>
      <c r="N33" s="19">
        <f t="shared" si="10"/>
        <v>0</v>
      </c>
      <c r="O33" s="11"/>
      <c r="P33" s="2">
        <v>2441.5700000000002</v>
      </c>
      <c r="Q33" s="2"/>
      <c r="R33" s="19">
        <f t="shared" si="11"/>
        <v>0.11456358695040149</v>
      </c>
      <c r="S33" s="2"/>
      <c r="T33" s="2"/>
      <c r="U33" s="2"/>
      <c r="V33" s="19">
        <f t="shared" si="12"/>
        <v>0</v>
      </c>
      <c r="W33" s="2"/>
      <c r="X33" s="2">
        <f t="shared" si="13"/>
        <v>2441.5700000000002</v>
      </c>
      <c r="Y33" s="2"/>
      <c r="Z33" s="19">
        <f t="shared" si="14"/>
        <v>0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/>
      <c r="E34" s="2"/>
      <c r="F34" s="19">
        <f t="shared" si="7"/>
        <v>0</v>
      </c>
      <c r="G34" s="2"/>
      <c r="H34" s="2"/>
      <c r="I34" s="2"/>
      <c r="J34" s="19">
        <f t="shared" si="8"/>
        <v>0</v>
      </c>
      <c r="K34" s="2"/>
      <c r="L34" s="2">
        <f t="shared" si="9"/>
        <v>0</v>
      </c>
      <c r="M34" s="2"/>
      <c r="N34" s="19">
        <f t="shared" si="10"/>
        <v>0</v>
      </c>
      <c r="O34" s="11"/>
      <c r="P34" s="2">
        <v>-45863.33</v>
      </c>
      <c r="Q34" s="2"/>
      <c r="R34" s="19">
        <f t="shared" si="11"/>
        <v>-2.1520036674311842</v>
      </c>
      <c r="S34" s="2"/>
      <c r="T34" s="2"/>
      <c r="U34" s="2"/>
      <c r="V34" s="19">
        <f t="shared" si="12"/>
        <v>0</v>
      </c>
      <c r="W34" s="2"/>
      <c r="X34" s="2">
        <f t="shared" si="13"/>
        <v>-45863.33</v>
      </c>
      <c r="Y34" s="2"/>
      <c r="Z34" s="19">
        <f t="shared" si="14"/>
        <v>0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>
        <v>14145</v>
      </c>
      <c r="Q35" s="2"/>
      <c r="R35" s="19">
        <f t="shared" si="11"/>
        <v>0.66371307700103988</v>
      </c>
      <c r="S35" s="2"/>
      <c r="T35" s="2"/>
      <c r="U35" s="2"/>
      <c r="V35" s="19">
        <f t="shared" si="12"/>
        <v>0</v>
      </c>
      <c r="W35" s="2"/>
      <c r="X35" s="2">
        <f t="shared" si="13"/>
        <v>14145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"5528", " - ", "FREIGHT-IN-ART/TECH")</f>
        <v xml:space="preserve">          5528 - FREIGHT-IN-ART/TECH</v>
      </c>
      <c r="C36" s="11"/>
      <c r="D36" s="2">
        <v>19.489999999999998</v>
      </c>
      <c r="E36" s="2"/>
      <c r="F36" s="19">
        <f t="shared" si="7"/>
        <v>0</v>
      </c>
      <c r="G36" s="2"/>
      <c r="H36" s="2"/>
      <c r="I36" s="2"/>
      <c r="J36" s="19">
        <f t="shared" si="8"/>
        <v>0</v>
      </c>
      <c r="K36" s="2"/>
      <c r="L36" s="2">
        <f t="shared" si="9"/>
        <v>19.489999999999998</v>
      </c>
      <c r="M36" s="2"/>
      <c r="N36" s="19">
        <f t="shared" si="10"/>
        <v>0</v>
      </c>
      <c r="O36" s="11"/>
      <c r="P36" s="2">
        <v>367.52</v>
      </c>
      <c r="Q36" s="2"/>
      <c r="R36" s="19">
        <f t="shared" si="11"/>
        <v>1.7244809477513053E-2</v>
      </c>
      <c r="S36" s="2"/>
      <c r="T36" s="2"/>
      <c r="U36" s="2"/>
      <c r="V36" s="19">
        <f t="shared" si="12"/>
        <v>0</v>
      </c>
      <c r="W36" s="2"/>
      <c r="X36" s="2">
        <f t="shared" si="13"/>
        <v>367.52</v>
      </c>
      <c r="Y36" s="2"/>
      <c r="Z36" s="19">
        <f t="shared" si="14"/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8" t="s">
        <v>108</v>
      </c>
      <c r="C38" s="28"/>
      <c r="D38" s="21">
        <f>D12-D28</f>
        <v>-19.489999999999998</v>
      </c>
      <c r="E38" s="14"/>
      <c r="F38" s="20">
        <f>IF(D$12=0,0,D38/D$12)</f>
        <v>0</v>
      </c>
      <c r="G38" s="14"/>
      <c r="H38" s="21">
        <f>H12-H28</f>
        <v>11250</v>
      </c>
      <c r="I38" s="14"/>
      <c r="J38" s="20">
        <f>IF(H$12=0,0,H38/H$12)</f>
        <v>0.49900199600798401</v>
      </c>
      <c r="K38" s="16"/>
      <c r="L38" s="21">
        <f>+D38-H38</f>
        <v>-11269.49</v>
      </c>
      <c r="M38" s="16"/>
      <c r="N38" s="20">
        <f>IF(H38=0,0,L38/H38)</f>
        <v>-1.0017324444444444</v>
      </c>
      <c r="O38" s="29"/>
      <c r="P38" s="21">
        <f>P12-P28</f>
        <v>7518.9300000000039</v>
      </c>
      <c r="Q38" s="14"/>
      <c r="R38" s="20">
        <f>IF(P$12=0,0,P38/P$12)</f>
        <v>0.35280397073562608</v>
      </c>
      <c r="S38" s="14"/>
      <c r="T38" s="21">
        <f>T12-T28</f>
        <v>75311</v>
      </c>
      <c r="U38" s="14"/>
      <c r="V38" s="20">
        <f>IF(T$12=0,0,T38/T$12)</f>
        <v>0.49373901869771591</v>
      </c>
      <c r="W38" s="16"/>
      <c r="X38" s="21">
        <f>+P38-T38</f>
        <v>-67792.069999999992</v>
      </c>
      <c r="Y38" s="16"/>
      <c r="Z38" s="20">
        <f>IF(T38=0,0,X38/T38)</f>
        <v>-0.90016159657951689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9" t="s">
        <v>295</v>
      </c>
      <c r="C40" s="10"/>
      <c r="D40" s="22">
        <f>SUM(OSRRefD22x_0)</f>
        <v>53</v>
      </c>
      <c r="E40" s="22"/>
      <c r="F40" s="32">
        <f t="shared" ref="F40:F50" si="15">IF(D$12=0,0,D40/D$12)</f>
        <v>0</v>
      </c>
      <c r="G40" s="22"/>
      <c r="H40" s="22">
        <f>SUM(OSRRefH22x_0)</f>
        <v>21378.414349999999</v>
      </c>
      <c r="I40" s="22"/>
      <c r="J40" s="32">
        <f t="shared" ref="J40:J50" si="16">IF(H$12=0,0,H40/H$12)</f>
        <v>0.94825523841206472</v>
      </c>
      <c r="K40" s="4"/>
      <c r="L40" s="22">
        <f t="shared" ref="L40:L50" si="17">+D40-H40</f>
        <v>-21325.414349999999</v>
      </c>
      <c r="M40" s="4"/>
      <c r="N40" s="32">
        <f t="shared" ref="N40:N50" si="18">IF(H40=0,0,L40/H40)</f>
        <v>-0.99752086384273864</v>
      </c>
      <c r="O40" s="10"/>
      <c r="P40" s="22">
        <f>SUM(OSRRefP22x_0)</f>
        <v>12700.859999999997</v>
      </c>
      <c r="Q40" s="22"/>
      <c r="R40" s="32">
        <f t="shared" ref="R40:R50" si="19">IF(P$12=0,0,P40/P$12)</f>
        <v>0.59595099831455811</v>
      </c>
      <c r="S40" s="22"/>
      <c r="T40" s="22">
        <f>SUM(OSRRefT22x_0)</f>
        <v>134399.16171399999</v>
      </c>
      <c r="U40" s="22"/>
      <c r="V40" s="32">
        <f t="shared" ref="V40:V50" si="20">IF(T$12=0,0,T40/T$12)</f>
        <v>0.88112108747017015</v>
      </c>
      <c r="W40" s="4"/>
      <c r="X40" s="22">
        <f t="shared" ref="X40:X50" si="21">+P40-T40</f>
        <v>-121698.30171399999</v>
      </c>
      <c r="Y40" s="4"/>
      <c r="Z40" s="32">
        <f t="shared" ref="Z40:Z50" si="22">IF(T40=0,0,X40/T40)</f>
        <v>-0.90549896414512387</v>
      </c>
    </row>
    <row r="41" spans="1:26" s="25" customFormat="1" outlineLevel="1" collapsed="1" x14ac:dyDescent="0.25">
      <c r="A41" s="27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0</v>
      </c>
      <c r="E41" s="1"/>
      <c r="F41" s="5">
        <f t="shared" si="15"/>
        <v>0</v>
      </c>
      <c r="G41" s="1"/>
      <c r="H41" s="1">
        <f>SUM(OSRRefH22_0x_0)</f>
        <v>2706.4643499999997</v>
      </c>
      <c r="I41" s="1"/>
      <c r="J41" s="5">
        <f t="shared" si="16"/>
        <v>0.12004721002439564</v>
      </c>
      <c r="K41" s="1"/>
      <c r="L41" s="1">
        <f t="shared" si="17"/>
        <v>-2706.4643499999997</v>
      </c>
      <c r="M41" s="1"/>
      <c r="N41" s="5">
        <f t="shared" si="18"/>
        <v>-1</v>
      </c>
      <c r="O41" s="13"/>
      <c r="P41" s="1">
        <f>SUM(OSRRefP22_0x_0)</f>
        <v>778.2</v>
      </c>
      <c r="Q41" s="1"/>
      <c r="R41" s="5">
        <f t="shared" si="19"/>
        <v>3.6514776707119778E-2</v>
      </c>
      <c r="S41" s="1"/>
      <c r="T41" s="1">
        <f>SUM(OSRRefT22_0x_0)</f>
        <v>20781.701713999999</v>
      </c>
      <c r="U41" s="1"/>
      <c r="V41" s="5">
        <f t="shared" si="20"/>
        <v>0.13624486477591585</v>
      </c>
      <c r="W41" s="1"/>
      <c r="X41" s="1">
        <f t="shared" si="21"/>
        <v>-20003.501713999998</v>
      </c>
      <c r="Y41" s="1"/>
      <c r="Z41" s="5">
        <f t="shared" si="22"/>
        <v>-0.96255359591290102</v>
      </c>
    </row>
    <row r="42" spans="1:26" s="24" customFormat="1" hidden="1" outlineLevel="2" x14ac:dyDescent="0.25">
      <c r="A42" s="26"/>
      <c r="B42" s="11" t="str">
        <f>CONCATENATE("          ", "6111", " - ", "F.I.C.A.")</f>
        <v xml:space="preserve">          6111 - F.I.C.A.</v>
      </c>
      <c r="C42" s="11"/>
      <c r="D42" s="7"/>
      <c r="E42" s="2"/>
      <c r="F42" s="6">
        <f t="shared" si="15"/>
        <v>0</v>
      </c>
      <c r="G42" s="2"/>
      <c r="H42" s="7">
        <v>684.82870500000001</v>
      </c>
      <c r="I42" s="2"/>
      <c r="J42" s="6">
        <f t="shared" si="16"/>
        <v>3.0376079174983368E-2</v>
      </c>
      <c r="K42" s="2"/>
      <c r="L42" s="7">
        <f t="shared" si="17"/>
        <v>-684.82870500000001</v>
      </c>
      <c r="M42" s="2"/>
      <c r="N42" s="6">
        <f t="shared" si="18"/>
        <v>-1</v>
      </c>
      <c r="O42" s="11"/>
      <c r="P42" s="7">
        <v>484.61</v>
      </c>
      <c r="Q42" s="2"/>
      <c r="R42" s="6">
        <f t="shared" si="19"/>
        <v>2.2738917938881154E-2</v>
      </c>
      <c r="S42" s="2"/>
      <c r="T42" s="7">
        <v>4686.9727080000002</v>
      </c>
      <c r="U42" s="2"/>
      <c r="V42" s="6">
        <f t="shared" si="20"/>
        <v>3.0727799465030289E-2</v>
      </c>
      <c r="W42" s="2"/>
      <c r="X42" s="7">
        <f t="shared" si="21"/>
        <v>-4202.3627080000006</v>
      </c>
      <c r="Y42" s="2"/>
      <c r="Z42" s="6">
        <f t="shared" si="22"/>
        <v>-0.8966049025263495</v>
      </c>
    </row>
    <row r="43" spans="1:26" s="24" customFormat="1" hidden="1" outlineLevel="2" x14ac:dyDescent="0.25">
      <c r="A43" s="26"/>
      <c r="B43" s="11" t="str">
        <f>CONCATENATE("          ", "6112", " - ", "COMPENSATION INSURANCE")</f>
        <v xml:space="preserve">          6112 - COMPENSATION INSURANCE</v>
      </c>
      <c r="C43" s="11"/>
      <c r="D43" s="7"/>
      <c r="E43" s="2"/>
      <c r="F43" s="6">
        <f t="shared" si="15"/>
        <v>0</v>
      </c>
      <c r="G43" s="2"/>
      <c r="H43" s="7">
        <v>291.59607499999998</v>
      </c>
      <c r="I43" s="2"/>
      <c r="J43" s="6">
        <f t="shared" si="16"/>
        <v>1.2933957640275004E-2</v>
      </c>
      <c r="K43" s="2"/>
      <c r="L43" s="7">
        <f t="shared" si="17"/>
        <v>-291.59607499999998</v>
      </c>
      <c r="M43" s="2"/>
      <c r="N43" s="6">
        <f t="shared" si="18"/>
        <v>-1</v>
      </c>
      <c r="O43" s="11"/>
      <c r="P43" s="7">
        <v>255.57</v>
      </c>
      <c r="Q43" s="2"/>
      <c r="R43" s="6">
        <f t="shared" si="19"/>
        <v>1.1991880600152403E-2</v>
      </c>
      <c r="S43" s="2"/>
      <c r="T43" s="7">
        <v>1663.25101</v>
      </c>
      <c r="U43" s="2"/>
      <c r="V43" s="6">
        <f t="shared" si="20"/>
        <v>1.0904275889649385E-2</v>
      </c>
      <c r="W43" s="2"/>
      <c r="X43" s="7">
        <f t="shared" si="21"/>
        <v>-1407.68101</v>
      </c>
      <c r="Y43" s="2"/>
      <c r="Z43" s="6">
        <f t="shared" si="22"/>
        <v>-0.84634309646383443</v>
      </c>
    </row>
    <row r="44" spans="1:26" s="24" customFormat="1" hidden="1" outlineLevel="2" x14ac:dyDescent="0.25">
      <c r="A44" s="26"/>
      <c r="B44" s="11" t="str">
        <f>CONCATENATE("          ", "6113", " - ", "GROUP INSURANCE")</f>
        <v xml:space="preserve">          6113 - GROUP INSURANCE</v>
      </c>
      <c r="C44" s="11"/>
      <c r="D44" s="7"/>
      <c r="E44" s="2"/>
      <c r="F44" s="6">
        <f t="shared" si="15"/>
        <v>0</v>
      </c>
      <c r="G44" s="2"/>
      <c r="H44" s="7">
        <v>665</v>
      </c>
      <c r="I44" s="2"/>
      <c r="J44" s="6">
        <f t="shared" si="16"/>
        <v>2.9496562430694168E-2</v>
      </c>
      <c r="K44" s="2"/>
      <c r="L44" s="7">
        <f t="shared" si="17"/>
        <v>-665</v>
      </c>
      <c r="M44" s="2"/>
      <c r="N44" s="6">
        <f t="shared" si="18"/>
        <v>-1</v>
      </c>
      <c r="O44" s="11"/>
      <c r="P44" s="7">
        <v>0</v>
      </c>
      <c r="Q44" s="2"/>
      <c r="R44" s="6">
        <f t="shared" si="19"/>
        <v>0</v>
      </c>
      <c r="S44" s="2"/>
      <c r="T44" s="7">
        <v>6650</v>
      </c>
      <c r="U44" s="2"/>
      <c r="V44" s="6">
        <f t="shared" si="20"/>
        <v>4.3597409068261088E-2</v>
      </c>
      <c r="W44" s="2"/>
      <c r="X44" s="7">
        <f t="shared" si="21"/>
        <v>-6650</v>
      </c>
      <c r="Y44" s="2"/>
      <c r="Z44" s="6">
        <f t="shared" si="22"/>
        <v>-1</v>
      </c>
    </row>
    <row r="45" spans="1:26" s="24" customFormat="1" hidden="1" outlineLevel="2" x14ac:dyDescent="0.25">
      <c r="A45" s="26"/>
      <c r="B45" s="11" t="str">
        <f>CONCATENATE("          ", "6114", " - ", "STATE UNEMPLOYMENT INSURANCE")</f>
        <v xml:space="preserve">          6114 - STATE UNEMPLOYMENT INSURANCE</v>
      </c>
      <c r="C45" s="11"/>
      <c r="D45" s="7"/>
      <c r="E45" s="2"/>
      <c r="F45" s="6">
        <f t="shared" si="15"/>
        <v>0</v>
      </c>
      <c r="G45" s="2"/>
      <c r="H45" s="7">
        <v>40.981070000000003</v>
      </c>
      <c r="I45" s="2"/>
      <c r="J45" s="6">
        <f t="shared" si="16"/>
        <v>1.8177453980927035E-3</v>
      </c>
      <c r="K45" s="2"/>
      <c r="L45" s="7">
        <f t="shared" si="17"/>
        <v>-40.981070000000003</v>
      </c>
      <c r="M45" s="2"/>
      <c r="N45" s="6">
        <f t="shared" si="18"/>
        <v>-1</v>
      </c>
      <c r="O45" s="11"/>
      <c r="P45" s="7">
        <v>38.020000000000003</v>
      </c>
      <c r="Q45" s="2"/>
      <c r="R45" s="6">
        <f t="shared" si="19"/>
        <v>1.7839781680862169E-3</v>
      </c>
      <c r="S45" s="2"/>
      <c r="T45" s="7">
        <v>233.75419600000001</v>
      </c>
      <c r="U45" s="2"/>
      <c r="V45" s="6">
        <f t="shared" si="20"/>
        <v>1.5324928277345082E-3</v>
      </c>
      <c r="W45" s="2"/>
      <c r="X45" s="7">
        <f t="shared" si="21"/>
        <v>-195.734196</v>
      </c>
      <c r="Y45" s="2"/>
      <c r="Z45" s="6">
        <f t="shared" si="22"/>
        <v>-0.83735051327164189</v>
      </c>
    </row>
    <row r="46" spans="1:26" s="24" customFormat="1" hidden="1" outlineLevel="2" x14ac:dyDescent="0.25">
      <c r="A46" s="26"/>
      <c r="B46" s="11" t="str">
        <f>CONCATENATE("          ", "6115", " - ", "P.E.R.S.")</f>
        <v xml:space="preserve">          6115 - P.E.R.S.</v>
      </c>
      <c r="C46" s="11"/>
      <c r="D46" s="7"/>
      <c r="E46" s="2"/>
      <c r="F46" s="6">
        <f t="shared" si="15"/>
        <v>0</v>
      </c>
      <c r="G46" s="2"/>
      <c r="H46" s="7">
        <v>447.2</v>
      </c>
      <c r="I46" s="2"/>
      <c r="J46" s="6">
        <f t="shared" si="16"/>
        <v>1.9835883787979597E-2</v>
      </c>
      <c r="K46" s="2"/>
      <c r="L46" s="7">
        <f t="shared" si="17"/>
        <v>-447.2</v>
      </c>
      <c r="M46" s="2"/>
      <c r="N46" s="6">
        <f t="shared" si="18"/>
        <v>-1</v>
      </c>
      <c r="O46" s="11"/>
      <c r="P46" s="7"/>
      <c r="Q46" s="2"/>
      <c r="R46" s="6">
        <f t="shared" si="19"/>
        <v>0</v>
      </c>
      <c r="S46" s="2"/>
      <c r="T46" s="7">
        <v>3935.36</v>
      </c>
      <c r="U46" s="2"/>
      <c r="V46" s="6">
        <f t="shared" si="20"/>
        <v>2.580022552644691E-2</v>
      </c>
      <c r="W46" s="2"/>
      <c r="X46" s="7">
        <f t="shared" si="21"/>
        <v>-3935.36</v>
      </c>
      <c r="Y46" s="2"/>
      <c r="Z46" s="6">
        <f t="shared" si="22"/>
        <v>-1</v>
      </c>
    </row>
    <row r="47" spans="1:26" s="24" customFormat="1" hidden="1" outlineLevel="2" x14ac:dyDescent="0.25">
      <c r="A47" s="26"/>
      <c r="B47" s="11" t="str">
        <f>CONCATENATE("          ", "6116", " - ", "EDUCATIONAL BENEFITS")</f>
        <v xml:space="preserve">          6116 - EDUCATIONAL BENEFITS</v>
      </c>
      <c r="C47" s="11"/>
      <c r="D47" s="7"/>
      <c r="E47" s="2"/>
      <c r="F47" s="6">
        <f t="shared" si="15"/>
        <v>0</v>
      </c>
      <c r="G47" s="2"/>
      <c r="H47" s="7">
        <v>0</v>
      </c>
      <c r="I47" s="2"/>
      <c r="J47" s="6">
        <f t="shared" si="16"/>
        <v>0</v>
      </c>
      <c r="K47" s="2"/>
      <c r="L47" s="7">
        <f t="shared" si="17"/>
        <v>0</v>
      </c>
      <c r="M47" s="2"/>
      <c r="N47" s="6">
        <f t="shared" si="18"/>
        <v>0</v>
      </c>
      <c r="O47" s="11"/>
      <c r="P47" s="7"/>
      <c r="Q47" s="2"/>
      <c r="R47" s="6">
        <f t="shared" si="19"/>
        <v>0</v>
      </c>
      <c r="S47" s="2"/>
      <c r="T47" s="7">
        <v>0</v>
      </c>
      <c r="U47" s="2"/>
      <c r="V47" s="6">
        <f t="shared" si="20"/>
        <v>0</v>
      </c>
      <c r="W47" s="2"/>
      <c r="X47" s="7">
        <f t="shared" si="21"/>
        <v>0</v>
      </c>
      <c r="Y47" s="2"/>
      <c r="Z47" s="6">
        <f t="shared" si="22"/>
        <v>0</v>
      </c>
    </row>
    <row r="48" spans="1:26" s="24" customFormat="1" hidden="1" outlineLevel="2" x14ac:dyDescent="0.25">
      <c r="A48" s="26"/>
      <c r="B48" s="11" t="str">
        <f>CONCATENATE("          ", "6117", " - ", "RETIREMENT STAFF HOURLY")</f>
        <v xml:space="preserve">          6117 - RETIREMENT STAFF HOURLY</v>
      </c>
      <c r="C48" s="11"/>
      <c r="D48" s="7"/>
      <c r="E48" s="2"/>
      <c r="F48" s="6">
        <f t="shared" si="15"/>
        <v>0</v>
      </c>
      <c r="G48" s="2"/>
      <c r="H48" s="7"/>
      <c r="I48" s="2"/>
      <c r="J48" s="6">
        <f t="shared" si="16"/>
        <v>0</v>
      </c>
      <c r="K48" s="2"/>
      <c r="L48" s="7">
        <f t="shared" si="17"/>
        <v>0</v>
      </c>
      <c r="M48" s="2"/>
      <c r="N48" s="6">
        <f t="shared" si="18"/>
        <v>0</v>
      </c>
      <c r="O48" s="11"/>
      <c r="P48" s="7">
        <v>0</v>
      </c>
      <c r="Q48" s="2"/>
      <c r="R48" s="6">
        <f t="shared" si="19"/>
        <v>0</v>
      </c>
      <c r="S48" s="2"/>
      <c r="T48" s="7"/>
      <c r="U48" s="2"/>
      <c r="V48" s="6">
        <f t="shared" si="20"/>
        <v>0</v>
      </c>
      <c r="W48" s="2"/>
      <c r="X48" s="7">
        <f t="shared" si="21"/>
        <v>0</v>
      </c>
      <c r="Y48" s="2"/>
      <c r="Z48" s="6">
        <f t="shared" si="22"/>
        <v>0</v>
      </c>
    </row>
    <row r="49" spans="1:26" s="24" customFormat="1" hidden="1" outlineLevel="2" x14ac:dyDescent="0.25">
      <c r="A49" s="26"/>
      <c r="B49" s="11" t="str">
        <f>CONCATENATE("          ", "6118", " - ", "VACATION")</f>
        <v xml:space="preserve">          6118 - VACATION</v>
      </c>
      <c r="C49" s="11"/>
      <c r="D49" s="7"/>
      <c r="E49" s="2"/>
      <c r="F49" s="6">
        <f t="shared" si="15"/>
        <v>0</v>
      </c>
      <c r="G49" s="2"/>
      <c r="H49" s="7">
        <v>156</v>
      </c>
      <c r="I49" s="2"/>
      <c r="J49" s="6">
        <f t="shared" si="16"/>
        <v>6.9194943446440451E-3</v>
      </c>
      <c r="K49" s="2"/>
      <c r="L49" s="7">
        <f t="shared" si="17"/>
        <v>-156</v>
      </c>
      <c r="M49" s="2"/>
      <c r="N49" s="6">
        <f t="shared" si="18"/>
        <v>-1</v>
      </c>
      <c r="O49" s="11"/>
      <c r="P49" s="7"/>
      <c r="Q49" s="2"/>
      <c r="R49" s="6">
        <f t="shared" si="19"/>
        <v>0</v>
      </c>
      <c r="S49" s="2"/>
      <c r="T49" s="7">
        <v>1372.8</v>
      </c>
      <c r="U49" s="2"/>
      <c r="V49" s="6">
        <f t="shared" si="20"/>
        <v>9.0000786720163643E-3</v>
      </c>
      <c r="W49" s="2"/>
      <c r="X49" s="7">
        <f t="shared" si="21"/>
        <v>-1372.8</v>
      </c>
      <c r="Y49" s="2"/>
      <c r="Z49" s="6">
        <f t="shared" si="22"/>
        <v>-1</v>
      </c>
    </row>
    <row r="50" spans="1:26" s="24" customFormat="1" hidden="1" outlineLevel="2" x14ac:dyDescent="0.25">
      <c r="A50" s="26"/>
      <c r="B50" s="11" t="str">
        <f>CONCATENATE("          ", "6119", " - ", "SICK LEAVE")</f>
        <v xml:space="preserve">          6119 - SICK LEAVE</v>
      </c>
      <c r="C50" s="11"/>
      <c r="D50" s="7"/>
      <c r="E50" s="2"/>
      <c r="F50" s="6">
        <f t="shared" si="15"/>
        <v>0</v>
      </c>
      <c r="G50" s="2"/>
      <c r="H50" s="7">
        <v>420.85849999999999</v>
      </c>
      <c r="I50" s="2"/>
      <c r="J50" s="6">
        <f t="shared" si="16"/>
        <v>1.866748724772677E-2</v>
      </c>
      <c r="K50" s="2"/>
      <c r="L50" s="7">
        <f t="shared" si="17"/>
        <v>-420.85849999999999</v>
      </c>
      <c r="M50" s="2"/>
      <c r="N50" s="6">
        <f t="shared" si="18"/>
        <v>-1</v>
      </c>
      <c r="O50" s="11"/>
      <c r="P50" s="7"/>
      <c r="Q50" s="2"/>
      <c r="R50" s="6">
        <f t="shared" si="19"/>
        <v>0</v>
      </c>
      <c r="S50" s="2"/>
      <c r="T50" s="7">
        <v>2239.5637999999999</v>
      </c>
      <c r="U50" s="2"/>
      <c r="V50" s="6">
        <f t="shared" si="20"/>
        <v>1.4682583326777332E-2</v>
      </c>
      <c r="W50" s="2"/>
      <c r="X50" s="7">
        <f t="shared" si="21"/>
        <v>-2239.5637999999999</v>
      </c>
      <c r="Y50" s="2"/>
      <c r="Z50" s="6">
        <f t="shared" si="22"/>
        <v>-1</v>
      </c>
    </row>
    <row r="51" spans="1:26" s="25" customFormat="1" outlineLevel="1" collapsed="1" x14ac:dyDescent="0.25">
      <c r="A51" s="27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0</v>
      </c>
      <c r="E51" s="1"/>
      <c r="F51" s="5">
        <f t="shared" ref="F51:F61" si="23">IF(D$12=0,0,D51/D$12)</f>
        <v>0</v>
      </c>
      <c r="G51" s="1"/>
      <c r="H51" s="1">
        <f>SUM(OSRRefH22_1x_0)</f>
        <v>15501.95</v>
      </c>
      <c r="I51" s="1"/>
      <c r="J51" s="5">
        <f t="shared" ref="J51:J61" si="24">IF(H$12=0,0,H51/H$12)</f>
        <v>0.6876003548458639</v>
      </c>
      <c r="K51" s="1"/>
      <c r="L51" s="1">
        <f t="shared" ref="L51:L61" si="25">+D51-H51</f>
        <v>-15501.95</v>
      </c>
      <c r="M51" s="1"/>
      <c r="N51" s="5">
        <f t="shared" ref="N51:N61" si="26">IF(H51=0,0,L51/H51)</f>
        <v>-1</v>
      </c>
      <c r="O51" s="13"/>
      <c r="P51" s="1">
        <f>SUM(OSRRefP22_1x_0)</f>
        <v>8152.5399999999991</v>
      </c>
      <c r="Q51" s="1"/>
      <c r="R51" s="5">
        <f t="shared" ref="R51:R61" si="27">IF(P$12=0,0,P51/P$12)</f>
        <v>0.38253428128483963</v>
      </c>
      <c r="S51" s="1"/>
      <c r="T51" s="1">
        <f>SUM(OSRRefT22_1x_0)</f>
        <v>87617.46</v>
      </c>
      <c r="U51" s="1"/>
      <c r="V51" s="5">
        <f t="shared" ref="V51:V61" si="28">IF(T$12=0,0,T51/T$12)</f>
        <v>0.57442018723939903</v>
      </c>
      <c r="W51" s="1"/>
      <c r="X51" s="1">
        <f t="shared" ref="X51:X61" si="29">+P51-T51</f>
        <v>-79464.920000000013</v>
      </c>
      <c r="Y51" s="1"/>
      <c r="Z51" s="5">
        <f t="shared" ref="Z51:Z61" si="30">IF(T51=0,0,X51/T51)</f>
        <v>-0.90695302055092675</v>
      </c>
    </row>
    <row r="52" spans="1:26" s="24" customFormat="1" hidden="1" outlineLevel="2" x14ac:dyDescent="0.25">
      <c r="A52" s="26"/>
      <c r="B52" s="11" t="str">
        <f>CONCATENATE("          ", "6001", " - ", "ADMINISTRATIVE SALARIES")</f>
        <v xml:space="preserve">          6001 - ADMINISTRATIVE SALARIES</v>
      </c>
      <c r="C52" s="11"/>
      <c r="D52" s="7"/>
      <c r="E52" s="2"/>
      <c r="F52" s="6">
        <f t="shared" si="23"/>
        <v>0</v>
      </c>
      <c r="G52" s="2"/>
      <c r="H52" s="7">
        <v>4940</v>
      </c>
      <c r="I52" s="2"/>
      <c r="J52" s="6">
        <f t="shared" si="24"/>
        <v>0.2191173209137281</v>
      </c>
      <c r="K52" s="2"/>
      <c r="L52" s="7">
        <f t="shared" si="25"/>
        <v>-4940</v>
      </c>
      <c r="M52" s="2"/>
      <c r="N52" s="6">
        <f t="shared" si="26"/>
        <v>-1</v>
      </c>
      <c r="O52" s="11"/>
      <c r="P52" s="7"/>
      <c r="Q52" s="2"/>
      <c r="R52" s="6">
        <f t="shared" si="27"/>
        <v>0</v>
      </c>
      <c r="S52" s="2"/>
      <c r="T52" s="7">
        <v>43472</v>
      </c>
      <c r="U52" s="2"/>
      <c r="V52" s="6">
        <f t="shared" si="28"/>
        <v>0.28500249128051819</v>
      </c>
      <c r="W52" s="2"/>
      <c r="X52" s="7">
        <f t="shared" si="29"/>
        <v>-43472</v>
      </c>
      <c r="Y52" s="2"/>
      <c r="Z52" s="6">
        <f t="shared" si="30"/>
        <v>-1</v>
      </c>
    </row>
    <row r="53" spans="1:26" s="24" customFormat="1" hidden="1" outlineLevel="2" x14ac:dyDescent="0.25">
      <c r="A53" s="26"/>
      <c r="B53" s="11" t="str">
        <f>CONCATENATE("          ", "6002", " - ", "STAFF SALARIES")</f>
        <v xml:space="preserve">          6002 - STAFF SALARIES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6"/>
      <c r="B54" s="11" t="str">
        <f>CONCATENATE("          ", "6003", " - ", "STAFF HOURLY-9 MONTH")</f>
        <v xml:space="preserve">          6003 - STAFF HOURLY-9 MONTH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4" customFormat="1" hidden="1" outlineLevel="2" x14ac:dyDescent="0.25">
      <c r="A55" s="26"/>
      <c r="B55" s="11" t="str">
        <f>CONCATENATE("          ", "6004", " - ", "STAFF HOURLY")</f>
        <v xml:space="preserve">          6004 - STAFF HOURLY</v>
      </c>
      <c r="C55" s="11"/>
      <c r="D55" s="7"/>
      <c r="E55" s="2"/>
      <c r="F55" s="6">
        <f t="shared" si="23"/>
        <v>0</v>
      </c>
      <c r="G55" s="2"/>
      <c r="H55" s="7">
        <v>3748.5</v>
      </c>
      <c r="I55" s="2"/>
      <c r="J55" s="6">
        <f t="shared" si="24"/>
        <v>0.16626746506986029</v>
      </c>
      <c r="K55" s="2"/>
      <c r="L55" s="7">
        <f t="shared" si="25"/>
        <v>-3748.5</v>
      </c>
      <c r="M55" s="2"/>
      <c r="N55" s="6">
        <f t="shared" si="26"/>
        <v>-1</v>
      </c>
      <c r="O55" s="11"/>
      <c r="P55" s="7"/>
      <c r="Q55" s="2"/>
      <c r="R55" s="6">
        <f t="shared" si="27"/>
        <v>0</v>
      </c>
      <c r="S55" s="2"/>
      <c r="T55" s="7">
        <v>15483.6</v>
      </c>
      <c r="U55" s="2"/>
      <c r="V55" s="6">
        <f t="shared" si="28"/>
        <v>0.10151050271418456</v>
      </c>
      <c r="W55" s="2"/>
      <c r="X55" s="7">
        <f t="shared" si="29"/>
        <v>-15483.6</v>
      </c>
      <c r="Y55" s="2"/>
      <c r="Z55" s="6">
        <f t="shared" si="30"/>
        <v>-1</v>
      </c>
    </row>
    <row r="56" spans="1:26" s="24" customFormat="1" hidden="1" outlineLevel="2" x14ac:dyDescent="0.25">
      <c r="A56" s="26"/>
      <c r="B56" s="11" t="str">
        <f>CONCATENATE("          ", "6005", " - ", "TEMPORARY WAGES-HOURLY")</f>
        <v xml:space="preserve">          6005 - TEMPORARY WAGES-HOURLY</v>
      </c>
      <c r="C56" s="11"/>
      <c r="D56" s="7"/>
      <c r="E56" s="2"/>
      <c r="F56" s="6">
        <f t="shared" si="23"/>
        <v>0</v>
      </c>
      <c r="G56" s="2"/>
      <c r="H56" s="7">
        <v>3430</v>
      </c>
      <c r="I56" s="2"/>
      <c r="J56" s="6">
        <f t="shared" si="24"/>
        <v>0.15214016411621201</v>
      </c>
      <c r="K56" s="2"/>
      <c r="L56" s="7">
        <f t="shared" si="25"/>
        <v>-3430</v>
      </c>
      <c r="M56" s="2"/>
      <c r="N56" s="6">
        <f t="shared" si="26"/>
        <v>-1</v>
      </c>
      <c r="O56" s="11"/>
      <c r="P56" s="7">
        <v>5379.19</v>
      </c>
      <c r="Q56" s="2"/>
      <c r="R56" s="6">
        <f t="shared" si="27"/>
        <v>0.25240288064144384</v>
      </c>
      <c r="S56" s="2"/>
      <c r="T56" s="7">
        <v>10626</v>
      </c>
      <c r="U56" s="2"/>
      <c r="V56" s="6">
        <f t="shared" si="28"/>
        <v>6.9664070490126656E-2</v>
      </c>
      <c r="W56" s="2"/>
      <c r="X56" s="7">
        <f t="shared" si="29"/>
        <v>-5246.81</v>
      </c>
      <c r="Y56" s="2"/>
      <c r="Z56" s="6">
        <f t="shared" si="30"/>
        <v>-0.49377093920572185</v>
      </c>
    </row>
    <row r="57" spans="1:26" s="24" customFormat="1" hidden="1" outlineLevel="2" x14ac:dyDescent="0.25">
      <c r="A57" s="26"/>
      <c r="B57" s="11" t="str">
        <f>CONCATENATE("          ", "6006", " - ", "TEMPORARY PART TIME")</f>
        <v xml:space="preserve">          6006 - TEMPORARY PART TIME</v>
      </c>
      <c r="C57" s="11"/>
      <c r="D57" s="7"/>
      <c r="E57" s="2"/>
      <c r="F57" s="6">
        <f t="shared" si="23"/>
        <v>0</v>
      </c>
      <c r="G57" s="2"/>
      <c r="H57" s="7">
        <v>0</v>
      </c>
      <c r="I57" s="2"/>
      <c r="J57" s="6">
        <f t="shared" si="24"/>
        <v>0</v>
      </c>
      <c r="K57" s="2"/>
      <c r="L57" s="7">
        <f t="shared" si="25"/>
        <v>0</v>
      </c>
      <c r="M57" s="2"/>
      <c r="N57" s="6">
        <f t="shared" si="26"/>
        <v>0</v>
      </c>
      <c r="O57" s="11"/>
      <c r="P57" s="7"/>
      <c r="Q57" s="2"/>
      <c r="R57" s="6">
        <f t="shared" si="27"/>
        <v>0</v>
      </c>
      <c r="S57" s="2"/>
      <c r="T57" s="7">
        <v>0</v>
      </c>
      <c r="U57" s="2"/>
      <c r="V57" s="6">
        <f t="shared" si="28"/>
        <v>0</v>
      </c>
      <c r="W57" s="2"/>
      <c r="X57" s="7">
        <f t="shared" si="29"/>
        <v>0</v>
      </c>
      <c r="Y57" s="2"/>
      <c r="Z57" s="6">
        <f t="shared" si="30"/>
        <v>0</v>
      </c>
    </row>
    <row r="58" spans="1:26" s="24" customFormat="1" hidden="1" outlineLevel="2" x14ac:dyDescent="0.25">
      <c r="A58" s="26"/>
      <c r="B58" s="11" t="str">
        <f>CONCATENATE("          ", "6007", " - ", "STUDENT HOURLY")</f>
        <v xml:space="preserve">          6007 - STUDENT HOURLY</v>
      </c>
      <c r="C58" s="11"/>
      <c r="D58" s="7"/>
      <c r="E58" s="2"/>
      <c r="F58" s="6">
        <f t="shared" si="23"/>
        <v>0</v>
      </c>
      <c r="G58" s="2"/>
      <c r="H58" s="7">
        <v>0</v>
      </c>
      <c r="I58" s="2"/>
      <c r="J58" s="6">
        <f t="shared" si="24"/>
        <v>0</v>
      </c>
      <c r="K58" s="2"/>
      <c r="L58" s="7">
        <f t="shared" si="25"/>
        <v>0</v>
      </c>
      <c r="M58" s="2"/>
      <c r="N58" s="6">
        <f t="shared" si="26"/>
        <v>0</v>
      </c>
      <c r="O58" s="11"/>
      <c r="P58" s="7">
        <v>2773.35</v>
      </c>
      <c r="Q58" s="2"/>
      <c r="R58" s="6">
        <f t="shared" si="27"/>
        <v>0.13013140064339582</v>
      </c>
      <c r="S58" s="2"/>
      <c r="T58" s="7">
        <v>0</v>
      </c>
      <c r="U58" s="2"/>
      <c r="V58" s="6">
        <f t="shared" si="28"/>
        <v>0</v>
      </c>
      <c r="W58" s="2"/>
      <c r="X58" s="7">
        <f t="shared" si="29"/>
        <v>2773.35</v>
      </c>
      <c r="Y58" s="2"/>
      <c r="Z58" s="6">
        <f t="shared" si="30"/>
        <v>0</v>
      </c>
    </row>
    <row r="59" spans="1:26" s="24" customFormat="1" hidden="1" outlineLevel="2" x14ac:dyDescent="0.25">
      <c r="A59" s="26"/>
      <c r="B59" s="11" t="str">
        <f>CONCATENATE("          ", "6008", " - ", "STUDENT HOURLY-FICA EXEMPT")</f>
        <v xml:space="preserve">          6008 - STUDENT HOURLY-FICA EXEMPT</v>
      </c>
      <c r="C59" s="11"/>
      <c r="D59" s="7"/>
      <c r="E59" s="2"/>
      <c r="F59" s="6">
        <f t="shared" si="23"/>
        <v>0</v>
      </c>
      <c r="G59" s="2"/>
      <c r="H59" s="7">
        <v>3383.45</v>
      </c>
      <c r="I59" s="2"/>
      <c r="J59" s="6">
        <f t="shared" si="24"/>
        <v>0.15007540474606343</v>
      </c>
      <c r="K59" s="2"/>
      <c r="L59" s="7">
        <f t="shared" si="25"/>
        <v>-3383.45</v>
      </c>
      <c r="M59" s="2"/>
      <c r="N59" s="6">
        <f t="shared" si="26"/>
        <v>-1</v>
      </c>
      <c r="O59" s="11"/>
      <c r="P59" s="7"/>
      <c r="Q59" s="2"/>
      <c r="R59" s="6">
        <f t="shared" si="27"/>
        <v>0</v>
      </c>
      <c r="S59" s="2"/>
      <c r="T59" s="7">
        <v>18035.86</v>
      </c>
      <c r="U59" s="2"/>
      <c r="V59" s="6">
        <f t="shared" si="28"/>
        <v>0.11824312275456954</v>
      </c>
      <c r="W59" s="2"/>
      <c r="X59" s="7">
        <f t="shared" si="29"/>
        <v>-18035.86</v>
      </c>
      <c r="Y59" s="2"/>
      <c r="Z59" s="6">
        <f t="shared" si="30"/>
        <v>-1</v>
      </c>
    </row>
    <row r="60" spans="1:26" s="24" customFormat="1" hidden="1" outlineLevel="2" x14ac:dyDescent="0.25">
      <c r="A60" s="26"/>
      <c r="B60" s="11" t="str">
        <f>CONCATENATE("          ", "6009", " - ", "TEMPORARY-SEASONAL")</f>
        <v xml:space="preserve">          6009 - TEMPORARY-SEASONAL</v>
      </c>
      <c r="C60" s="11"/>
      <c r="D60" s="7"/>
      <c r="E60" s="2"/>
      <c r="F60" s="6">
        <f t="shared" si="23"/>
        <v>0</v>
      </c>
      <c r="G60" s="2"/>
      <c r="H60" s="7">
        <v>0</v>
      </c>
      <c r="I60" s="2"/>
      <c r="J60" s="6">
        <f t="shared" si="24"/>
        <v>0</v>
      </c>
      <c r="K60" s="2"/>
      <c r="L60" s="7">
        <f t="shared" si="25"/>
        <v>0</v>
      </c>
      <c r="M60" s="2"/>
      <c r="N60" s="6">
        <f t="shared" si="26"/>
        <v>0</v>
      </c>
      <c r="O60" s="11"/>
      <c r="P60" s="7"/>
      <c r="Q60" s="2"/>
      <c r="R60" s="6">
        <f t="shared" si="27"/>
        <v>0</v>
      </c>
      <c r="S60" s="2"/>
      <c r="T60" s="7">
        <v>0</v>
      </c>
      <c r="U60" s="2"/>
      <c r="V60" s="6">
        <f t="shared" si="28"/>
        <v>0</v>
      </c>
      <c r="W60" s="2"/>
      <c r="X60" s="7">
        <f t="shared" si="29"/>
        <v>0</v>
      </c>
      <c r="Y60" s="2"/>
      <c r="Z60" s="6">
        <f t="shared" si="30"/>
        <v>0</v>
      </c>
    </row>
    <row r="61" spans="1:26" s="24" customFormat="1" hidden="1" outlineLevel="2" x14ac:dyDescent="0.25">
      <c r="A61" s="26"/>
      <c r="B61" s="11" t="str">
        <f>CONCATENATE("          ", "6010", " - ", "GRATUITY")</f>
        <v xml:space="preserve">          6010 - GRATUITY</v>
      </c>
      <c r="C61" s="11"/>
      <c r="D61" s="7"/>
      <c r="E61" s="2"/>
      <c r="F61" s="6">
        <f t="shared" si="23"/>
        <v>0</v>
      </c>
      <c r="G61" s="2"/>
      <c r="H61" s="7">
        <v>0</v>
      </c>
      <c r="I61" s="2"/>
      <c r="J61" s="6">
        <f t="shared" si="24"/>
        <v>0</v>
      </c>
      <c r="K61" s="2"/>
      <c r="L61" s="7">
        <f t="shared" si="25"/>
        <v>0</v>
      </c>
      <c r="M61" s="2"/>
      <c r="N61" s="6">
        <f t="shared" si="26"/>
        <v>0</v>
      </c>
      <c r="O61" s="11"/>
      <c r="P61" s="7"/>
      <c r="Q61" s="2"/>
      <c r="R61" s="6">
        <f t="shared" si="27"/>
        <v>0</v>
      </c>
      <c r="S61" s="2"/>
      <c r="T61" s="7">
        <v>0</v>
      </c>
      <c r="U61" s="2"/>
      <c r="V61" s="6">
        <f t="shared" si="28"/>
        <v>0</v>
      </c>
      <c r="W61" s="2"/>
      <c r="X61" s="7">
        <f t="shared" si="29"/>
        <v>0</v>
      </c>
      <c r="Y61" s="2"/>
      <c r="Z61" s="6">
        <f t="shared" si="30"/>
        <v>0</v>
      </c>
    </row>
    <row r="62" spans="1:26" s="25" customFormat="1" outlineLevel="1" collapsed="1" x14ac:dyDescent="0.25">
      <c r="A62" s="27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0</v>
      </c>
      <c r="E62" s="1"/>
      <c r="F62" s="5">
        <f t="shared" ref="F62:F70" si="31">IF(D$12=0,0,D62/D$12)</f>
        <v>0</v>
      </c>
      <c r="G62" s="1"/>
      <c r="H62" s="1">
        <f>SUM(OSRRefH22_2x_0)</f>
        <v>100</v>
      </c>
      <c r="I62" s="1"/>
      <c r="J62" s="5">
        <f t="shared" ref="J62:J70" si="32">IF(H$12=0,0,H62/H$12)</f>
        <v>4.4355732978487473E-3</v>
      </c>
      <c r="K62" s="1"/>
      <c r="L62" s="1">
        <f t="shared" ref="L62:L70" si="33">+D62-H62</f>
        <v>-100</v>
      </c>
      <c r="M62" s="1"/>
      <c r="N62" s="5">
        <f t="shared" ref="N62:N70" si="34">IF(H62=0,0,L62/H62)</f>
        <v>-1</v>
      </c>
      <c r="O62" s="13"/>
      <c r="P62" s="1">
        <f>SUM(OSRRefP22_2x_0)</f>
        <v>124.72</v>
      </c>
      <c r="Q62" s="1"/>
      <c r="R62" s="5">
        <f t="shared" ref="R62:R70" si="35">IF(P$12=0,0,P62/P$12)</f>
        <v>5.8521240695347957E-3</v>
      </c>
      <c r="S62" s="1"/>
      <c r="T62" s="1">
        <f>SUM(OSRRefT22_2x_0)</f>
        <v>900</v>
      </c>
      <c r="U62" s="1"/>
      <c r="V62" s="5">
        <f t="shared" ref="V62:V70" si="36">IF(T$12=0,0,T62/T$12)</f>
        <v>5.9004012272834555E-3</v>
      </c>
      <c r="W62" s="1"/>
      <c r="X62" s="1">
        <f t="shared" ref="X62:X70" si="37">+P62-T62</f>
        <v>-775.28</v>
      </c>
      <c r="Y62" s="1"/>
      <c r="Z62" s="5">
        <f t="shared" ref="Z62:Z70" si="38">IF(T62=0,0,X62/T62)</f>
        <v>-0.8614222222222222</v>
      </c>
    </row>
    <row r="63" spans="1:26" s="24" customFormat="1" hidden="1" outlineLevel="2" x14ac:dyDescent="0.25">
      <c r="A63" s="26"/>
      <c r="B63" s="11" t="str">
        <f>CONCATENATE("          ", "6362", " - ", "ADVERTISING EXPENSE")</f>
        <v xml:space="preserve">          6362 - ADVERTISING EXPENSE</v>
      </c>
      <c r="C63" s="11"/>
      <c r="D63" s="7"/>
      <c r="E63" s="2"/>
      <c r="F63" s="6">
        <f t="shared" si="31"/>
        <v>0</v>
      </c>
      <c r="G63" s="2"/>
      <c r="H63" s="7">
        <v>100</v>
      </c>
      <c r="I63" s="2"/>
      <c r="J63" s="6">
        <f t="shared" si="32"/>
        <v>4.4355732978487473E-3</v>
      </c>
      <c r="K63" s="2"/>
      <c r="L63" s="7">
        <f t="shared" si="33"/>
        <v>-100</v>
      </c>
      <c r="M63" s="2"/>
      <c r="N63" s="6">
        <f t="shared" si="34"/>
        <v>-1</v>
      </c>
      <c r="O63" s="11"/>
      <c r="P63" s="7">
        <v>124.72</v>
      </c>
      <c r="Q63" s="2"/>
      <c r="R63" s="6">
        <f t="shared" si="35"/>
        <v>5.8521240695347957E-3</v>
      </c>
      <c r="S63" s="2"/>
      <c r="T63" s="7">
        <v>900</v>
      </c>
      <c r="U63" s="2"/>
      <c r="V63" s="6">
        <f t="shared" si="36"/>
        <v>5.9004012272834555E-3</v>
      </c>
      <c r="W63" s="2"/>
      <c r="X63" s="7">
        <f t="shared" si="37"/>
        <v>-775.28</v>
      </c>
      <c r="Y63" s="2"/>
      <c r="Z63" s="6">
        <f t="shared" si="38"/>
        <v>-0.8614222222222222</v>
      </c>
    </row>
    <row r="64" spans="1:26" s="25" customFormat="1" outlineLevel="1" collapsed="1" x14ac:dyDescent="0.25">
      <c r="A64" s="27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0</v>
      </c>
      <c r="E64" s="1"/>
      <c r="F64" s="5">
        <f t="shared" si="31"/>
        <v>0</v>
      </c>
      <c r="G64" s="1"/>
      <c r="H64" s="1">
        <f>SUM(OSRRefH22_3x_0)</f>
        <v>0</v>
      </c>
      <c r="I64" s="1"/>
      <c r="J64" s="5">
        <f t="shared" si="32"/>
        <v>0</v>
      </c>
      <c r="K64" s="1"/>
      <c r="L64" s="1">
        <f t="shared" si="33"/>
        <v>0</v>
      </c>
      <c r="M64" s="1"/>
      <c r="N64" s="5">
        <f t="shared" si="34"/>
        <v>0</v>
      </c>
      <c r="O64" s="13"/>
      <c r="P64" s="1">
        <f>SUM(OSRRefP22_3x_0)</f>
        <v>1.1000000000000001</v>
      </c>
      <c r="Q64" s="1"/>
      <c r="R64" s="5">
        <f t="shared" si="35"/>
        <v>5.1614307861516002E-5</v>
      </c>
      <c r="S64" s="1"/>
      <c r="T64" s="1">
        <f>SUM(OSRRefT22_3x_0)</f>
        <v>0</v>
      </c>
      <c r="U64" s="1"/>
      <c r="V64" s="5">
        <f t="shared" si="36"/>
        <v>0</v>
      </c>
      <c r="W64" s="1"/>
      <c r="X64" s="1">
        <f t="shared" si="37"/>
        <v>1.1000000000000001</v>
      </c>
      <c r="Y64" s="1"/>
      <c r="Z64" s="5">
        <f t="shared" si="38"/>
        <v>0</v>
      </c>
    </row>
    <row r="65" spans="1:26" s="24" customFormat="1" hidden="1" outlineLevel="2" x14ac:dyDescent="0.25">
      <c r="A65" s="26"/>
      <c r="B65" s="11" t="str">
        <f>CONCATENATE("          ", "6272", " - ", "CASH (OVER/SHORT)")</f>
        <v xml:space="preserve">          6272 - CASH (OVER/SHORT)</v>
      </c>
      <c r="C65" s="11"/>
      <c r="D65" s="7"/>
      <c r="E65" s="2"/>
      <c r="F65" s="6">
        <f t="shared" si="31"/>
        <v>0</v>
      </c>
      <c r="G65" s="2"/>
      <c r="H65" s="7"/>
      <c r="I65" s="2"/>
      <c r="J65" s="6">
        <f t="shared" si="32"/>
        <v>0</v>
      </c>
      <c r="K65" s="2"/>
      <c r="L65" s="7">
        <f t="shared" si="33"/>
        <v>0</v>
      </c>
      <c r="M65" s="2"/>
      <c r="N65" s="6">
        <f t="shared" si="34"/>
        <v>0</v>
      </c>
      <c r="O65" s="11"/>
      <c r="P65" s="7">
        <v>1.1000000000000001</v>
      </c>
      <c r="Q65" s="2"/>
      <c r="R65" s="6">
        <f t="shared" si="35"/>
        <v>5.1614307861516002E-5</v>
      </c>
      <c r="S65" s="2"/>
      <c r="T65" s="7"/>
      <c r="U65" s="2"/>
      <c r="V65" s="6">
        <f t="shared" si="36"/>
        <v>0</v>
      </c>
      <c r="W65" s="2"/>
      <c r="X65" s="7">
        <f t="shared" si="37"/>
        <v>1.1000000000000001</v>
      </c>
      <c r="Y65" s="2"/>
      <c r="Z65" s="6">
        <f t="shared" si="38"/>
        <v>0</v>
      </c>
    </row>
    <row r="66" spans="1:26" s="25" customFormat="1" outlineLevel="1" collapsed="1" x14ac:dyDescent="0.25">
      <c r="A66" s="27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0</v>
      </c>
      <c r="E66" s="1"/>
      <c r="F66" s="5">
        <f t="shared" si="31"/>
        <v>0</v>
      </c>
      <c r="G66" s="1"/>
      <c r="H66" s="1">
        <f>SUM(OSRRefH22_4x_0)</f>
        <v>1552</v>
      </c>
      <c r="I66" s="1"/>
      <c r="J66" s="5">
        <f t="shared" si="32"/>
        <v>6.8840097582612558E-2</v>
      </c>
      <c r="K66" s="1"/>
      <c r="L66" s="1">
        <f t="shared" si="33"/>
        <v>-1552</v>
      </c>
      <c r="M66" s="1"/>
      <c r="N66" s="5">
        <f t="shared" si="34"/>
        <v>-1</v>
      </c>
      <c r="O66" s="13"/>
      <c r="P66" s="1">
        <f>SUM(OSRRefP22_4x_0)</f>
        <v>0</v>
      </c>
      <c r="Q66" s="1"/>
      <c r="R66" s="5">
        <f t="shared" si="35"/>
        <v>0</v>
      </c>
      <c r="S66" s="1"/>
      <c r="T66" s="1">
        <f>SUM(OSRRefT22_4x_0)</f>
        <v>9997</v>
      </c>
      <c r="U66" s="1"/>
      <c r="V66" s="5">
        <f t="shared" si="36"/>
        <v>6.5540345632391889E-2</v>
      </c>
      <c r="W66" s="1"/>
      <c r="X66" s="1">
        <f t="shared" si="37"/>
        <v>-9997</v>
      </c>
      <c r="Y66" s="1"/>
      <c r="Z66" s="5">
        <f t="shared" si="38"/>
        <v>-1</v>
      </c>
    </row>
    <row r="67" spans="1:26" s="24" customFormat="1" hidden="1" outlineLevel="2" x14ac:dyDescent="0.25">
      <c r="A67" s="26"/>
      <c r="B67" s="11" t="str">
        <f>CONCATENATE("          ", "6381", " - ", "BANK/CREDIT CARD FEES")</f>
        <v xml:space="preserve">          6381 - BANK/CREDIT CARD FEES</v>
      </c>
      <c r="C67" s="11"/>
      <c r="D67" s="7"/>
      <c r="E67" s="2"/>
      <c r="F67" s="6">
        <f t="shared" si="31"/>
        <v>0</v>
      </c>
      <c r="G67" s="2"/>
      <c r="H67" s="7">
        <v>1552</v>
      </c>
      <c r="I67" s="2"/>
      <c r="J67" s="6">
        <f t="shared" si="32"/>
        <v>6.8840097582612558E-2</v>
      </c>
      <c r="K67" s="2"/>
      <c r="L67" s="7">
        <f t="shared" si="33"/>
        <v>-1552</v>
      </c>
      <c r="M67" s="2"/>
      <c r="N67" s="6">
        <f t="shared" si="34"/>
        <v>-1</v>
      </c>
      <c r="O67" s="11"/>
      <c r="P67" s="7"/>
      <c r="Q67" s="2"/>
      <c r="R67" s="6">
        <f t="shared" si="35"/>
        <v>0</v>
      </c>
      <c r="S67" s="2"/>
      <c r="T67" s="7">
        <v>9997</v>
      </c>
      <c r="U67" s="2"/>
      <c r="V67" s="6">
        <f t="shared" si="36"/>
        <v>6.5540345632391889E-2</v>
      </c>
      <c r="W67" s="2"/>
      <c r="X67" s="7">
        <f t="shared" si="37"/>
        <v>-9997</v>
      </c>
      <c r="Y67" s="2"/>
      <c r="Z67" s="6">
        <f t="shared" si="38"/>
        <v>-1</v>
      </c>
    </row>
    <row r="68" spans="1:26" s="25" customFormat="1" outlineLevel="1" collapsed="1" x14ac:dyDescent="0.25">
      <c r="A68" s="27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SUM(OSRRefD22_5x_0)</f>
        <v>0</v>
      </c>
      <c r="E68" s="1"/>
      <c r="F68" s="5">
        <f t="shared" si="31"/>
        <v>0</v>
      </c>
      <c r="G68" s="1"/>
      <c r="H68" s="1">
        <f>SUM(OSRRefH22_5x_0)</f>
        <v>496</v>
      </c>
      <c r="I68" s="1"/>
      <c r="J68" s="5">
        <f t="shared" si="32"/>
        <v>2.2000443557329784E-2</v>
      </c>
      <c r="K68" s="1"/>
      <c r="L68" s="1">
        <f t="shared" si="33"/>
        <v>-496</v>
      </c>
      <c r="M68" s="1"/>
      <c r="N68" s="5">
        <f t="shared" si="34"/>
        <v>-1</v>
      </c>
      <c r="O68" s="13"/>
      <c r="P68" s="1">
        <f>SUM(OSRRefP22_5x_0)</f>
        <v>0</v>
      </c>
      <c r="Q68" s="1"/>
      <c r="R68" s="5">
        <f t="shared" si="35"/>
        <v>0</v>
      </c>
      <c r="S68" s="1"/>
      <c r="T68" s="1">
        <f>SUM(OSRRefT22_5x_0)</f>
        <v>3338</v>
      </c>
      <c r="U68" s="1"/>
      <c r="V68" s="5">
        <f t="shared" si="36"/>
        <v>2.1883932551857971E-2</v>
      </c>
      <c r="W68" s="1"/>
      <c r="X68" s="1">
        <f t="shared" si="37"/>
        <v>-3338</v>
      </c>
      <c r="Y68" s="1"/>
      <c r="Z68" s="5">
        <f t="shared" si="38"/>
        <v>-1</v>
      </c>
    </row>
    <row r="69" spans="1:26" s="24" customFormat="1" hidden="1" outlineLevel="2" x14ac:dyDescent="0.25">
      <c r="A69" s="26"/>
      <c r="B69" s="11" t="str">
        <f>CONCATENATE("          ", "6382", " - ", "DISCOUNTS/MARK DOWNS")</f>
        <v xml:space="preserve">          6382 - DISCOUNTS/MARK DOWNS</v>
      </c>
      <c r="C69" s="11"/>
      <c r="D69" s="7"/>
      <c r="E69" s="2"/>
      <c r="F69" s="6">
        <f t="shared" si="31"/>
        <v>0</v>
      </c>
      <c r="G69" s="2"/>
      <c r="H69" s="7">
        <v>496</v>
      </c>
      <c r="I69" s="2"/>
      <c r="J69" s="6">
        <f t="shared" si="32"/>
        <v>2.2000443557329784E-2</v>
      </c>
      <c r="K69" s="2"/>
      <c r="L69" s="7">
        <f t="shared" si="33"/>
        <v>-496</v>
      </c>
      <c r="M69" s="2"/>
      <c r="N69" s="6">
        <f t="shared" si="34"/>
        <v>-1</v>
      </c>
      <c r="O69" s="11"/>
      <c r="P69" s="7">
        <v>0</v>
      </c>
      <c r="Q69" s="2"/>
      <c r="R69" s="6">
        <f t="shared" si="35"/>
        <v>0</v>
      </c>
      <c r="S69" s="2"/>
      <c r="T69" s="7">
        <v>3338</v>
      </c>
      <c r="U69" s="2"/>
      <c r="V69" s="6">
        <f t="shared" si="36"/>
        <v>2.1883932551857971E-2</v>
      </c>
      <c r="W69" s="2"/>
      <c r="X69" s="7">
        <f t="shared" si="37"/>
        <v>-3338</v>
      </c>
      <c r="Y69" s="2"/>
      <c r="Z69" s="6">
        <f t="shared" si="38"/>
        <v>-1</v>
      </c>
    </row>
    <row r="70" spans="1:26" s="24" customFormat="1" hidden="1" outlineLevel="2" x14ac:dyDescent="0.25">
      <c r="A70" s="26"/>
      <c r="B70" s="11" t="str">
        <f>CONCATENATE("          ", "9175", " - ", "EARNED DISCOUNTS")</f>
        <v xml:space="preserve">          9175 - EARNED DISCOUNTS</v>
      </c>
      <c r="C70" s="11"/>
      <c r="D70" s="7">
        <v>0</v>
      </c>
      <c r="E70" s="2"/>
      <c r="F70" s="6">
        <f t="shared" si="31"/>
        <v>0</v>
      </c>
      <c r="G70" s="2"/>
      <c r="H70" s="7"/>
      <c r="I70" s="2"/>
      <c r="J70" s="6">
        <f t="shared" si="32"/>
        <v>0</v>
      </c>
      <c r="K70" s="2"/>
      <c r="L70" s="7">
        <f t="shared" si="33"/>
        <v>0</v>
      </c>
      <c r="M70" s="2"/>
      <c r="N70" s="6">
        <f t="shared" si="34"/>
        <v>0</v>
      </c>
      <c r="O70" s="11"/>
      <c r="P70" s="7">
        <v>0</v>
      </c>
      <c r="Q70" s="2"/>
      <c r="R70" s="6">
        <f t="shared" si="35"/>
        <v>0</v>
      </c>
      <c r="S70" s="2"/>
      <c r="T70" s="7"/>
      <c r="U70" s="2"/>
      <c r="V70" s="6">
        <f t="shared" si="36"/>
        <v>0</v>
      </c>
      <c r="W70" s="2"/>
      <c r="X70" s="7">
        <f t="shared" si="37"/>
        <v>0</v>
      </c>
      <c r="Y70" s="2"/>
      <c r="Z70" s="6">
        <f t="shared" si="38"/>
        <v>0</v>
      </c>
    </row>
    <row r="71" spans="1:26" s="25" customFormat="1" outlineLevel="1" collapsed="1" x14ac:dyDescent="0.25">
      <c r="A71" s="27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SUM(OSRRefD22_6x_0)</f>
        <v>0</v>
      </c>
      <c r="E71" s="1"/>
      <c r="F71" s="5">
        <f t="shared" ref="F71:F79" si="39">IF(D$12=0,0,D71/D$12)</f>
        <v>0</v>
      </c>
      <c r="G71" s="1"/>
      <c r="H71" s="1">
        <f>SUM(OSRRefH22_6x_0)</f>
        <v>248</v>
      </c>
      <c r="I71" s="1"/>
      <c r="J71" s="5">
        <f t="shared" ref="J71:J79" si="40">IF(H$12=0,0,H71/H$12)</f>
        <v>1.1000221778664892E-2</v>
      </c>
      <c r="K71" s="1"/>
      <c r="L71" s="1">
        <f t="shared" ref="L71:L79" si="41">+D71-H71</f>
        <v>-248</v>
      </c>
      <c r="M71" s="1"/>
      <c r="N71" s="5">
        <f t="shared" ref="N71:N79" si="42">IF(H71=0,0,L71/H71)</f>
        <v>-1</v>
      </c>
      <c r="O71" s="13"/>
      <c r="P71" s="1">
        <f>SUM(OSRRefP22_6x_0)</f>
        <v>0</v>
      </c>
      <c r="Q71" s="1"/>
      <c r="R71" s="5">
        <f t="shared" ref="R71:R79" si="43">IF(P$12=0,0,P71/P$12)</f>
        <v>0</v>
      </c>
      <c r="S71" s="1"/>
      <c r="T71" s="1">
        <f>SUM(OSRRefT22_6x_0)</f>
        <v>2479</v>
      </c>
      <c r="U71" s="1"/>
      <c r="V71" s="5">
        <f t="shared" ref="V71:V79" si="44">IF(T$12=0,0,T71/T$12)</f>
        <v>1.6252327380484096E-2</v>
      </c>
      <c r="W71" s="1"/>
      <c r="X71" s="1">
        <f t="shared" ref="X71:X79" si="45">+P71-T71</f>
        <v>-2479</v>
      </c>
      <c r="Y71" s="1"/>
      <c r="Z71" s="5">
        <f t="shared" ref="Z71:Z79" si="46">IF(T71=0,0,X71/T71)</f>
        <v>-1</v>
      </c>
    </row>
    <row r="72" spans="1:26" s="24" customFormat="1" hidden="1" outlineLevel="2" x14ac:dyDescent="0.25">
      <c r="A72" s="26"/>
      <c r="B72" s="11" t="str">
        <f>CONCATENATE("          ", "6305", " - ", "FREIGHT OUT")</f>
        <v xml:space="preserve">          6305 - FREIGHT OUT</v>
      </c>
      <c r="C72" s="11"/>
      <c r="D72" s="7"/>
      <c r="E72" s="2"/>
      <c r="F72" s="6">
        <f t="shared" si="39"/>
        <v>0</v>
      </c>
      <c r="G72" s="2"/>
      <c r="H72" s="7">
        <v>248</v>
      </c>
      <c r="I72" s="2"/>
      <c r="J72" s="6">
        <f t="shared" si="40"/>
        <v>1.1000221778664892E-2</v>
      </c>
      <c r="K72" s="2"/>
      <c r="L72" s="7">
        <f t="shared" si="41"/>
        <v>-248</v>
      </c>
      <c r="M72" s="2"/>
      <c r="N72" s="6">
        <f t="shared" si="42"/>
        <v>-1</v>
      </c>
      <c r="O72" s="11"/>
      <c r="P72" s="7">
        <v>0</v>
      </c>
      <c r="Q72" s="2"/>
      <c r="R72" s="6">
        <f t="shared" si="43"/>
        <v>0</v>
      </c>
      <c r="S72" s="2"/>
      <c r="T72" s="7">
        <v>2479</v>
      </c>
      <c r="U72" s="2"/>
      <c r="V72" s="6">
        <f t="shared" si="44"/>
        <v>1.6252327380484096E-2</v>
      </c>
      <c r="W72" s="2"/>
      <c r="X72" s="7">
        <f t="shared" si="45"/>
        <v>-2479</v>
      </c>
      <c r="Y72" s="2"/>
      <c r="Z72" s="6">
        <f t="shared" si="46"/>
        <v>-1</v>
      </c>
    </row>
    <row r="73" spans="1:26" s="25" customFormat="1" outlineLevel="1" collapsed="1" x14ac:dyDescent="0.25">
      <c r="A73" s="27"/>
      <c r="B73" s="13" t="str">
        <f>CONCATENATE("     ","General                                           ")</f>
        <v xml:space="preserve">     General                                           </v>
      </c>
      <c r="C73" s="13"/>
      <c r="D73" s="1">
        <f>SUM(OSRRefD22_7x_0)</f>
        <v>0</v>
      </c>
      <c r="E73" s="1"/>
      <c r="F73" s="5">
        <f t="shared" si="39"/>
        <v>0</v>
      </c>
      <c r="G73" s="1"/>
      <c r="H73" s="1">
        <f>SUM(OSRRefH22_7x_0)</f>
        <v>0</v>
      </c>
      <c r="I73" s="1"/>
      <c r="J73" s="5">
        <f t="shared" si="40"/>
        <v>0</v>
      </c>
      <c r="K73" s="1"/>
      <c r="L73" s="1">
        <f t="shared" si="41"/>
        <v>0</v>
      </c>
      <c r="M73" s="1"/>
      <c r="N73" s="5">
        <f t="shared" si="42"/>
        <v>0</v>
      </c>
      <c r="O73" s="13"/>
      <c r="P73" s="1">
        <f>SUM(OSRRefP22_7x_0)</f>
        <v>879.55</v>
      </c>
      <c r="Q73" s="1"/>
      <c r="R73" s="5">
        <f t="shared" si="43"/>
        <v>4.1270331345087632E-2</v>
      </c>
      <c r="S73" s="1"/>
      <c r="T73" s="1">
        <f>SUM(OSRRefT22_7x_0)</f>
        <v>1000</v>
      </c>
      <c r="U73" s="1"/>
      <c r="V73" s="5">
        <f t="shared" si="44"/>
        <v>6.5560013636482839E-3</v>
      </c>
      <c r="W73" s="1"/>
      <c r="X73" s="1">
        <f t="shared" si="45"/>
        <v>-120.45000000000005</v>
      </c>
      <c r="Y73" s="1"/>
      <c r="Z73" s="5">
        <f t="shared" si="46"/>
        <v>-0.12045000000000004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6">
        <f t="shared" si="39"/>
        <v>0</v>
      </c>
      <c r="G74" s="2"/>
      <c r="H74" s="7"/>
      <c r="I74" s="2"/>
      <c r="J74" s="6">
        <f t="shared" si="40"/>
        <v>0</v>
      </c>
      <c r="K74" s="2"/>
      <c r="L74" s="7">
        <f t="shared" si="41"/>
        <v>0</v>
      </c>
      <c r="M74" s="2"/>
      <c r="N74" s="6">
        <f t="shared" si="42"/>
        <v>0</v>
      </c>
      <c r="O74" s="11"/>
      <c r="P74" s="7">
        <v>879.55</v>
      </c>
      <c r="Q74" s="2"/>
      <c r="R74" s="6">
        <f t="shared" si="43"/>
        <v>4.1270331345087632E-2</v>
      </c>
      <c r="S74" s="2"/>
      <c r="T74" s="7">
        <v>1000</v>
      </c>
      <c r="U74" s="2"/>
      <c r="V74" s="6">
        <f t="shared" si="44"/>
        <v>6.5560013636482839E-3</v>
      </c>
      <c r="W74" s="2"/>
      <c r="X74" s="7">
        <f t="shared" si="45"/>
        <v>-120.45000000000005</v>
      </c>
      <c r="Y74" s="2"/>
      <c r="Z74" s="6">
        <f t="shared" si="46"/>
        <v>-0.12045000000000004</v>
      </c>
    </row>
    <row r="75" spans="1:26" s="25" customFormat="1" outlineLevel="1" collapsed="1" x14ac:dyDescent="0.25">
      <c r="A75" s="27"/>
      <c r="B75" s="13" t="str">
        <f>CONCATENATE("     ","Professional Services                             ")</f>
        <v xml:space="preserve">     Professional Services                             </v>
      </c>
      <c r="C75" s="13"/>
      <c r="D75" s="1">
        <f>SUM(OSRRefD22_8x_0)</f>
        <v>0</v>
      </c>
      <c r="E75" s="1"/>
      <c r="F75" s="5">
        <f t="shared" si="39"/>
        <v>0</v>
      </c>
      <c r="G75" s="1"/>
      <c r="H75" s="1">
        <f>SUM(OSRRefH22_8x_0)</f>
        <v>0</v>
      </c>
      <c r="I75" s="1"/>
      <c r="J75" s="5">
        <f t="shared" si="40"/>
        <v>0</v>
      </c>
      <c r="K75" s="1"/>
      <c r="L75" s="1">
        <f t="shared" si="41"/>
        <v>0</v>
      </c>
      <c r="M75" s="1"/>
      <c r="N75" s="5">
        <f t="shared" si="42"/>
        <v>0</v>
      </c>
      <c r="O75" s="13"/>
      <c r="P75" s="1">
        <f>SUM(OSRRefP22_8x_0)</f>
        <v>0</v>
      </c>
      <c r="Q75" s="1"/>
      <c r="R75" s="5">
        <f t="shared" si="43"/>
        <v>0</v>
      </c>
      <c r="S75" s="1"/>
      <c r="T75" s="1">
        <f>SUM(OSRRefT22_8x_0)</f>
        <v>800</v>
      </c>
      <c r="U75" s="1"/>
      <c r="V75" s="5">
        <f t="shared" si="44"/>
        <v>5.2448010909186271E-3</v>
      </c>
      <c r="W75" s="1"/>
      <c r="X75" s="1">
        <f t="shared" si="45"/>
        <v>-800</v>
      </c>
      <c r="Y75" s="1"/>
      <c r="Z75" s="5">
        <f t="shared" si="46"/>
        <v>-1</v>
      </c>
    </row>
    <row r="76" spans="1:26" s="24" customFormat="1" hidden="1" outlineLevel="2" x14ac:dyDescent="0.25">
      <c r="A76" s="26"/>
      <c r="B76" s="11" t="str">
        <f>CONCATENATE("          ", "6336", " - ", "PROFESSIONAL SERVICES")</f>
        <v xml:space="preserve">          6336 - PROFESSIONAL SERVICES</v>
      </c>
      <c r="C76" s="11"/>
      <c r="D76" s="7"/>
      <c r="E76" s="2"/>
      <c r="F76" s="6">
        <f t="shared" si="39"/>
        <v>0</v>
      </c>
      <c r="G76" s="2"/>
      <c r="H76" s="7"/>
      <c r="I76" s="2"/>
      <c r="J76" s="6">
        <f t="shared" si="40"/>
        <v>0</v>
      </c>
      <c r="K76" s="2"/>
      <c r="L76" s="7">
        <f t="shared" si="41"/>
        <v>0</v>
      </c>
      <c r="M76" s="2"/>
      <c r="N76" s="6">
        <f t="shared" si="42"/>
        <v>0</v>
      </c>
      <c r="O76" s="11"/>
      <c r="P76" s="7"/>
      <c r="Q76" s="2"/>
      <c r="R76" s="6">
        <f t="shared" si="43"/>
        <v>0</v>
      </c>
      <c r="S76" s="2"/>
      <c r="T76" s="7">
        <v>800</v>
      </c>
      <c r="U76" s="2"/>
      <c r="V76" s="6">
        <f t="shared" si="44"/>
        <v>5.2448010909186271E-3</v>
      </c>
      <c r="W76" s="2"/>
      <c r="X76" s="7">
        <f t="shared" si="45"/>
        <v>-800</v>
      </c>
      <c r="Y76" s="2"/>
      <c r="Z76" s="6">
        <f t="shared" si="46"/>
        <v>-1</v>
      </c>
    </row>
    <row r="77" spans="1:26" s="25" customFormat="1" outlineLevel="1" collapsed="1" x14ac:dyDescent="0.25">
      <c r="A77" s="27"/>
      <c r="B77" s="13" t="str">
        <f>CONCATENATE("     ","Repair and Maintenance                            ")</f>
        <v xml:space="preserve">     Repair and Maintenance                            </v>
      </c>
      <c r="C77" s="13"/>
      <c r="D77" s="1">
        <f>SUM(OSRRefD22_9x_0)</f>
        <v>0</v>
      </c>
      <c r="E77" s="1"/>
      <c r="F77" s="5">
        <f t="shared" si="39"/>
        <v>0</v>
      </c>
      <c r="G77" s="1"/>
      <c r="H77" s="1">
        <f>SUM(OSRRefH22_9x_0)</f>
        <v>100</v>
      </c>
      <c r="I77" s="1"/>
      <c r="J77" s="5">
        <f t="shared" si="40"/>
        <v>4.4355732978487473E-3</v>
      </c>
      <c r="K77" s="1"/>
      <c r="L77" s="1">
        <f t="shared" si="41"/>
        <v>-100</v>
      </c>
      <c r="M77" s="1"/>
      <c r="N77" s="5">
        <f t="shared" si="42"/>
        <v>-1</v>
      </c>
      <c r="O77" s="13"/>
      <c r="P77" s="1">
        <f>SUM(OSRRefP22_9x_0)</f>
        <v>261.93</v>
      </c>
      <c r="Q77" s="1"/>
      <c r="R77" s="5">
        <f t="shared" si="43"/>
        <v>1.2290305143788078E-2</v>
      </c>
      <c r="S77" s="1"/>
      <c r="T77" s="1">
        <f>SUM(OSRRefT22_9x_0)</f>
        <v>1000</v>
      </c>
      <c r="U77" s="1"/>
      <c r="V77" s="5">
        <f t="shared" si="44"/>
        <v>6.5560013636482839E-3</v>
      </c>
      <c r="W77" s="1"/>
      <c r="X77" s="1">
        <f t="shared" si="45"/>
        <v>-738.06999999999994</v>
      </c>
      <c r="Y77" s="1"/>
      <c r="Z77" s="5">
        <f t="shared" si="46"/>
        <v>-0.73806999999999989</v>
      </c>
    </row>
    <row r="78" spans="1:26" s="24" customFormat="1" hidden="1" outlineLevel="2" x14ac:dyDescent="0.25">
      <c r="A78" s="26"/>
      <c r="B78" s="11" t="str">
        <f>CONCATENATE("          ", "6373", " - ", "MAINTENANCE CONTRACTS")</f>
        <v xml:space="preserve">          6373 - MAINTENANCE CONTRACTS</v>
      </c>
      <c r="C78" s="11"/>
      <c r="D78" s="7"/>
      <c r="E78" s="2"/>
      <c r="F78" s="6">
        <f t="shared" si="39"/>
        <v>0</v>
      </c>
      <c r="G78" s="2"/>
      <c r="H78" s="7"/>
      <c r="I78" s="2"/>
      <c r="J78" s="6">
        <f t="shared" si="40"/>
        <v>0</v>
      </c>
      <c r="K78" s="2"/>
      <c r="L78" s="7">
        <f t="shared" si="41"/>
        <v>0</v>
      </c>
      <c r="M78" s="2"/>
      <c r="N78" s="6">
        <f t="shared" si="42"/>
        <v>0</v>
      </c>
      <c r="O78" s="11"/>
      <c r="P78" s="7">
        <v>261.93</v>
      </c>
      <c r="Q78" s="2"/>
      <c r="R78" s="6">
        <f t="shared" si="43"/>
        <v>1.2290305143788078E-2</v>
      </c>
      <c r="S78" s="2"/>
      <c r="T78" s="7"/>
      <c r="U78" s="2"/>
      <c r="V78" s="6">
        <f t="shared" si="44"/>
        <v>0</v>
      </c>
      <c r="W78" s="2"/>
      <c r="X78" s="7">
        <f t="shared" si="45"/>
        <v>261.93</v>
      </c>
      <c r="Y78" s="2"/>
      <c r="Z78" s="6">
        <f t="shared" si="46"/>
        <v>0</v>
      </c>
    </row>
    <row r="79" spans="1:26" s="24" customFormat="1" hidden="1" outlineLevel="2" x14ac:dyDescent="0.25">
      <c r="A79" s="26"/>
      <c r="B79" s="11" t="str">
        <f>CONCATENATE("          ", "6375", " - ", "OUTSIDE REPAIRS &amp; MAINTENANCE")</f>
        <v xml:space="preserve">          6375 - OUTSIDE REPAIRS &amp; MAINTENANCE</v>
      </c>
      <c r="C79" s="11"/>
      <c r="D79" s="7"/>
      <c r="E79" s="2"/>
      <c r="F79" s="6">
        <f t="shared" si="39"/>
        <v>0</v>
      </c>
      <c r="G79" s="2"/>
      <c r="H79" s="7">
        <v>100</v>
      </c>
      <c r="I79" s="2"/>
      <c r="J79" s="6">
        <f t="shared" si="40"/>
        <v>4.4355732978487473E-3</v>
      </c>
      <c r="K79" s="2"/>
      <c r="L79" s="7">
        <f t="shared" si="41"/>
        <v>-100</v>
      </c>
      <c r="M79" s="2"/>
      <c r="N79" s="6">
        <f t="shared" si="42"/>
        <v>-1</v>
      </c>
      <c r="O79" s="11"/>
      <c r="P79" s="7"/>
      <c r="Q79" s="2"/>
      <c r="R79" s="6">
        <f t="shared" si="43"/>
        <v>0</v>
      </c>
      <c r="S79" s="2"/>
      <c r="T79" s="7">
        <v>1000</v>
      </c>
      <c r="U79" s="2"/>
      <c r="V79" s="6">
        <f t="shared" si="44"/>
        <v>6.5560013636482839E-3</v>
      </c>
      <c r="W79" s="2"/>
      <c r="X79" s="7">
        <f t="shared" si="45"/>
        <v>-1000</v>
      </c>
      <c r="Y79" s="2"/>
      <c r="Z79" s="6">
        <f t="shared" si="46"/>
        <v>-1</v>
      </c>
    </row>
    <row r="80" spans="1:26" s="25" customFormat="1" outlineLevel="1" collapsed="1" x14ac:dyDescent="0.25">
      <c r="A80" s="27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SUM(OSRRefD22_10x_0)</f>
        <v>0</v>
      </c>
      <c r="E80" s="1"/>
      <c r="F80" s="5">
        <f t="shared" ref="F80:F82" si="47">IF(D$12=0,0,D80/D$12)</f>
        <v>0</v>
      </c>
      <c r="G80" s="1"/>
      <c r="H80" s="1">
        <f>SUM(OSRRefH22_10x_0)</f>
        <v>274</v>
      </c>
      <c r="I80" s="1"/>
      <c r="J80" s="5">
        <f t="shared" ref="J80:J82" si="48">IF(H$12=0,0,H80/H$12)</f>
        <v>1.2153470836105566E-2</v>
      </c>
      <c r="K80" s="1"/>
      <c r="L80" s="1">
        <f t="shared" ref="L80:L82" si="49">+D80-H80</f>
        <v>-274</v>
      </c>
      <c r="M80" s="1"/>
      <c r="N80" s="5">
        <f t="shared" ref="N80:N82" si="50">IF(H80=0,0,L80/H80)</f>
        <v>-1</v>
      </c>
      <c r="O80" s="13"/>
      <c r="P80" s="1">
        <f>SUM(OSRRefP22_10x_0)</f>
        <v>18.5</v>
      </c>
      <c r="Q80" s="1"/>
      <c r="R80" s="5">
        <f t="shared" ref="R80:R82" si="51">IF(P$12=0,0,P80/P$12)</f>
        <v>8.6805881403458724E-4</v>
      </c>
      <c r="S80" s="1"/>
      <c r="T80" s="1">
        <f>SUM(OSRRefT22_10x_0)</f>
        <v>2466</v>
      </c>
      <c r="U80" s="1"/>
      <c r="V80" s="5">
        <f t="shared" ref="V80:V82" si="52">IF(T$12=0,0,T80/T$12)</f>
        <v>1.6167099362756666E-2</v>
      </c>
      <c r="W80" s="1"/>
      <c r="X80" s="1">
        <f t="shared" ref="X80:X82" si="53">+P80-T80</f>
        <v>-2447.5</v>
      </c>
      <c r="Y80" s="1"/>
      <c r="Z80" s="5">
        <f t="shared" ref="Z80:Z82" si="54">IF(T80=0,0,X80/T80)</f>
        <v>-0.99249797242497972</v>
      </c>
    </row>
    <row r="81" spans="1:26" s="24" customFormat="1" hidden="1" outlineLevel="2" x14ac:dyDescent="0.25">
      <c r="A81" s="26"/>
      <c r="B81" s="11" t="str">
        <f>CONCATENATE("          ", "6282", " - ", "JANITORIAL/EXTERMINATOR EXPENS")</f>
        <v xml:space="preserve">          6282 - JANITORIAL/EXTERMINATOR EXPENS</v>
      </c>
      <c r="C81" s="11"/>
      <c r="D81" s="7"/>
      <c r="E81" s="2"/>
      <c r="F81" s="6">
        <f t="shared" si="47"/>
        <v>0</v>
      </c>
      <c r="G81" s="2"/>
      <c r="H81" s="7"/>
      <c r="I81" s="2"/>
      <c r="J81" s="6">
        <f t="shared" si="48"/>
        <v>0</v>
      </c>
      <c r="K81" s="2"/>
      <c r="L81" s="7">
        <f t="shared" si="49"/>
        <v>0</v>
      </c>
      <c r="M81" s="2"/>
      <c r="N81" s="6">
        <f t="shared" si="50"/>
        <v>0</v>
      </c>
      <c r="O81" s="11"/>
      <c r="P81" s="7">
        <v>176</v>
      </c>
      <c r="Q81" s="2"/>
      <c r="R81" s="6">
        <f t="shared" si="51"/>
        <v>8.2582892578425601E-3</v>
      </c>
      <c r="S81" s="2"/>
      <c r="T81" s="7"/>
      <c r="U81" s="2"/>
      <c r="V81" s="6">
        <f t="shared" si="52"/>
        <v>0</v>
      </c>
      <c r="W81" s="2"/>
      <c r="X81" s="7">
        <f t="shared" si="53"/>
        <v>176</v>
      </c>
      <c r="Y81" s="2"/>
      <c r="Z81" s="6">
        <f t="shared" si="54"/>
        <v>0</v>
      </c>
    </row>
    <row r="82" spans="1:26" s="24" customFormat="1" hidden="1" outlineLevel="2" x14ac:dyDescent="0.25">
      <c r="A82" s="26"/>
      <c r="B82" s="11" t="str">
        <f>CONCATENATE("          ", "6285", " - ", "JANITORIAL SERVICES")</f>
        <v xml:space="preserve">          6285 - JANITORIAL SERVICES</v>
      </c>
      <c r="C82" s="11"/>
      <c r="D82" s="7"/>
      <c r="E82" s="2"/>
      <c r="F82" s="6">
        <f t="shared" si="47"/>
        <v>0</v>
      </c>
      <c r="G82" s="2"/>
      <c r="H82" s="7">
        <v>274</v>
      </c>
      <c r="I82" s="2"/>
      <c r="J82" s="6">
        <f t="shared" si="48"/>
        <v>1.2153470836105566E-2</v>
      </c>
      <c r="K82" s="2"/>
      <c r="L82" s="7">
        <f t="shared" si="49"/>
        <v>-274</v>
      </c>
      <c r="M82" s="2"/>
      <c r="N82" s="6">
        <f t="shared" si="50"/>
        <v>-1</v>
      </c>
      <c r="O82" s="11"/>
      <c r="P82" s="7">
        <v>-157.5</v>
      </c>
      <c r="Q82" s="2"/>
      <c r="R82" s="6">
        <f t="shared" si="51"/>
        <v>-7.3902304438079732E-3</v>
      </c>
      <c r="S82" s="2"/>
      <c r="T82" s="7">
        <v>2466</v>
      </c>
      <c r="U82" s="2"/>
      <c r="V82" s="6">
        <f t="shared" si="52"/>
        <v>1.6167099362756666E-2</v>
      </c>
      <c r="W82" s="2"/>
      <c r="X82" s="7">
        <f t="shared" si="53"/>
        <v>-2623.5</v>
      </c>
      <c r="Y82" s="2"/>
      <c r="Z82" s="6">
        <f t="shared" si="54"/>
        <v>-1.0638686131386861</v>
      </c>
    </row>
    <row r="83" spans="1:26" s="25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SUM(OSRRefD22_11x_0)</f>
        <v>0</v>
      </c>
      <c r="E83" s="1"/>
      <c r="F83" s="5">
        <f t="shared" ref="F83:F87" si="55">IF(D$12=0,0,D83/D$12)</f>
        <v>0</v>
      </c>
      <c r="G83" s="1"/>
      <c r="H83" s="1">
        <f>SUM(OSRRefH22_11x_0)</f>
        <v>300</v>
      </c>
      <c r="I83" s="1"/>
      <c r="J83" s="5">
        <f t="shared" ref="J83:J87" si="56">IF(H$12=0,0,H83/H$12)</f>
        <v>1.330671989354624E-2</v>
      </c>
      <c r="K83" s="1"/>
      <c r="L83" s="1">
        <f t="shared" ref="L83:L87" si="57">+D83-H83</f>
        <v>-300</v>
      </c>
      <c r="M83" s="1"/>
      <c r="N83" s="5">
        <f t="shared" ref="N83:N87" si="58">IF(H83=0,0,L83/H83)</f>
        <v>-1</v>
      </c>
      <c r="O83" s="13"/>
      <c r="P83" s="1">
        <f>SUM(OSRRefP22_11x_0)</f>
        <v>1892.27</v>
      </c>
      <c r="Q83" s="1"/>
      <c r="R83" s="5">
        <f t="shared" ref="R83:R87" si="59">IF(P$12=0,0,P83/P$12)</f>
        <v>8.8789278488282622E-2</v>
      </c>
      <c r="S83" s="1"/>
      <c r="T83" s="1">
        <f>SUM(OSRRefT22_11x_0)</f>
        <v>2900</v>
      </c>
      <c r="U83" s="1"/>
      <c r="V83" s="5">
        <f t="shared" ref="V83:V87" si="60">IF(T$12=0,0,T83/T$12)</f>
        <v>1.9012403954580023E-2</v>
      </c>
      <c r="W83" s="1"/>
      <c r="X83" s="1">
        <f t="shared" ref="X83:X87" si="61">+P83-T83</f>
        <v>-1007.73</v>
      </c>
      <c r="Y83" s="1"/>
      <c r="Z83" s="5">
        <f t="shared" ref="Z83:Z87" si="62">IF(T83=0,0,X83/T83)</f>
        <v>-0.34749310344827589</v>
      </c>
    </row>
    <row r="84" spans="1:26" s="24" customFormat="1" hidden="1" outlineLevel="2" x14ac:dyDescent="0.25">
      <c r="A84" s="26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55"/>
        <v>0</v>
      </c>
      <c r="G84" s="2"/>
      <c r="H84" s="7">
        <v>200</v>
      </c>
      <c r="I84" s="2"/>
      <c r="J84" s="6">
        <f t="shared" si="56"/>
        <v>8.8711465956974947E-3</v>
      </c>
      <c r="K84" s="2"/>
      <c r="L84" s="7">
        <f t="shared" si="57"/>
        <v>-200</v>
      </c>
      <c r="M84" s="2"/>
      <c r="N84" s="6">
        <f t="shared" si="58"/>
        <v>-1</v>
      </c>
      <c r="O84" s="11"/>
      <c r="P84" s="7">
        <v>444.3</v>
      </c>
      <c r="Q84" s="2"/>
      <c r="R84" s="6">
        <f t="shared" si="59"/>
        <v>2.0847488166246871E-2</v>
      </c>
      <c r="S84" s="2"/>
      <c r="T84" s="7">
        <v>1800</v>
      </c>
      <c r="U84" s="2"/>
      <c r="V84" s="6">
        <f t="shared" si="60"/>
        <v>1.1800802454566911E-2</v>
      </c>
      <c r="W84" s="2"/>
      <c r="X84" s="7">
        <f t="shared" si="61"/>
        <v>-1355.7</v>
      </c>
      <c r="Y84" s="2"/>
      <c r="Z84" s="6">
        <f t="shared" si="62"/>
        <v>-0.75316666666666665</v>
      </c>
    </row>
    <row r="85" spans="1:26" s="24" customFormat="1" hidden="1" outlineLevel="2" x14ac:dyDescent="0.25">
      <c r="A85" s="26"/>
      <c r="B85" s="11" t="str">
        <f>CONCATENATE("          ", "6241", " - ", "OFFICE EXPENSE")</f>
        <v xml:space="preserve">          6241 - OFFICE EXPENSE</v>
      </c>
      <c r="C85" s="11"/>
      <c r="D85" s="7"/>
      <c r="E85" s="2"/>
      <c r="F85" s="6">
        <f t="shared" si="55"/>
        <v>0</v>
      </c>
      <c r="G85" s="2"/>
      <c r="H85" s="7"/>
      <c r="I85" s="2"/>
      <c r="J85" s="6">
        <f t="shared" si="56"/>
        <v>0</v>
      </c>
      <c r="K85" s="2"/>
      <c r="L85" s="7">
        <f t="shared" si="57"/>
        <v>0</v>
      </c>
      <c r="M85" s="2"/>
      <c r="N85" s="6">
        <f t="shared" si="58"/>
        <v>0</v>
      </c>
      <c r="O85" s="11"/>
      <c r="P85" s="7">
        <v>225.24</v>
      </c>
      <c r="Q85" s="2"/>
      <c r="R85" s="6">
        <f t="shared" si="59"/>
        <v>1.056873336611624E-2</v>
      </c>
      <c r="S85" s="2"/>
      <c r="T85" s="7"/>
      <c r="U85" s="2"/>
      <c r="V85" s="6">
        <f t="shared" si="60"/>
        <v>0</v>
      </c>
      <c r="W85" s="2"/>
      <c r="X85" s="7">
        <f t="shared" si="61"/>
        <v>225.24</v>
      </c>
      <c r="Y85" s="2"/>
      <c r="Z85" s="6">
        <f t="shared" si="62"/>
        <v>0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55"/>
        <v>0</v>
      </c>
      <c r="G86" s="2"/>
      <c r="H86" s="7">
        <v>100</v>
      </c>
      <c r="I86" s="2"/>
      <c r="J86" s="6">
        <f t="shared" si="56"/>
        <v>4.4355732978487473E-3</v>
      </c>
      <c r="K86" s="2"/>
      <c r="L86" s="7">
        <f t="shared" si="57"/>
        <v>-100</v>
      </c>
      <c r="M86" s="2"/>
      <c r="N86" s="6">
        <f t="shared" si="58"/>
        <v>-1</v>
      </c>
      <c r="O86" s="11"/>
      <c r="P86" s="7">
        <v>1222.73</v>
      </c>
      <c r="Q86" s="2"/>
      <c r="R86" s="6">
        <f t="shared" si="59"/>
        <v>5.7373056955919509E-2</v>
      </c>
      <c r="S86" s="2"/>
      <c r="T86" s="7">
        <v>900</v>
      </c>
      <c r="U86" s="2"/>
      <c r="V86" s="6">
        <f t="shared" si="60"/>
        <v>5.9004012272834555E-3</v>
      </c>
      <c r="W86" s="2"/>
      <c r="X86" s="7">
        <f t="shared" si="61"/>
        <v>322.73</v>
      </c>
      <c r="Y86" s="2"/>
      <c r="Z86" s="6">
        <f t="shared" si="62"/>
        <v>0.3585888888888889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55"/>
        <v>0</v>
      </c>
      <c r="G87" s="2"/>
      <c r="H87" s="7"/>
      <c r="I87" s="2"/>
      <c r="J87" s="6">
        <f t="shared" si="56"/>
        <v>0</v>
      </c>
      <c r="K87" s="2"/>
      <c r="L87" s="7">
        <f t="shared" si="57"/>
        <v>0</v>
      </c>
      <c r="M87" s="2"/>
      <c r="N87" s="6">
        <f t="shared" si="58"/>
        <v>0</v>
      </c>
      <c r="O87" s="11"/>
      <c r="P87" s="7"/>
      <c r="Q87" s="2"/>
      <c r="R87" s="6">
        <f t="shared" si="59"/>
        <v>0</v>
      </c>
      <c r="S87" s="2"/>
      <c r="T87" s="7">
        <v>200</v>
      </c>
      <c r="U87" s="2"/>
      <c r="V87" s="6">
        <f t="shared" si="60"/>
        <v>1.3112002727296568E-3</v>
      </c>
      <c r="W87" s="2"/>
      <c r="X87" s="7">
        <f t="shared" si="61"/>
        <v>-200</v>
      </c>
      <c r="Y87" s="2"/>
      <c r="Z87" s="6">
        <f t="shared" si="62"/>
        <v>-1</v>
      </c>
    </row>
    <row r="88" spans="1:26" s="25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SUM(OSRRefD22_12x_0)</f>
        <v>53</v>
      </c>
      <c r="E88" s="1"/>
      <c r="F88" s="5">
        <f t="shared" ref="F88:F90" si="63">IF(D$12=0,0,D88/D$12)</f>
        <v>0</v>
      </c>
      <c r="G88" s="1"/>
      <c r="H88" s="1">
        <f>SUM(OSRRefH22_12x_0)</f>
        <v>100</v>
      </c>
      <c r="I88" s="1"/>
      <c r="J88" s="5">
        <f t="shared" ref="J88:J90" si="64">IF(H$12=0,0,H88/H$12)</f>
        <v>4.4355732978487473E-3</v>
      </c>
      <c r="K88" s="1"/>
      <c r="L88" s="1">
        <f t="shared" ref="L88:L90" si="65">+D88-H88</f>
        <v>-47</v>
      </c>
      <c r="M88" s="1"/>
      <c r="N88" s="5">
        <f t="shared" ref="N88:N90" si="66">IF(H88=0,0,L88/H88)</f>
        <v>-0.47</v>
      </c>
      <c r="O88" s="13"/>
      <c r="P88" s="1">
        <f>SUM(OSRRefP22_12x_0)</f>
        <v>578.04999999999995</v>
      </c>
      <c r="Q88" s="1"/>
      <c r="R88" s="5">
        <f t="shared" ref="R88:R90" si="67">IF(P$12=0,0,P88/P$12)</f>
        <v>2.7123318781226657E-2</v>
      </c>
      <c r="S88" s="1"/>
      <c r="T88" s="1">
        <f>SUM(OSRRefT22_12x_0)</f>
        <v>1000</v>
      </c>
      <c r="U88" s="1"/>
      <c r="V88" s="5">
        <f t="shared" ref="V88:V90" si="68">IF(T$12=0,0,T88/T$12)</f>
        <v>6.5560013636482839E-3</v>
      </c>
      <c r="W88" s="1"/>
      <c r="X88" s="1">
        <f t="shared" ref="X88:X90" si="69">+P88-T88</f>
        <v>-421.95000000000005</v>
      </c>
      <c r="Y88" s="1"/>
      <c r="Z88" s="5">
        <f t="shared" ref="Z88:Z90" si="70">IF(T88=0,0,X88/T88)</f>
        <v>-0.42195000000000005</v>
      </c>
    </row>
    <row r="89" spans="1:26" s="24" customFormat="1" hidden="1" outlineLevel="2" x14ac:dyDescent="0.25">
      <c r="A89" s="26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63"/>
        <v>0</v>
      </c>
      <c r="G89" s="2"/>
      <c r="H89" s="7">
        <v>100</v>
      </c>
      <c r="I89" s="2"/>
      <c r="J89" s="6">
        <f t="shared" si="64"/>
        <v>4.4355732978487473E-3</v>
      </c>
      <c r="K89" s="2"/>
      <c r="L89" s="7">
        <f t="shared" si="65"/>
        <v>-100</v>
      </c>
      <c r="M89" s="2"/>
      <c r="N89" s="6">
        <f t="shared" si="66"/>
        <v>-1</v>
      </c>
      <c r="O89" s="11"/>
      <c r="P89" s="7"/>
      <c r="Q89" s="2"/>
      <c r="R89" s="6">
        <f t="shared" si="67"/>
        <v>0</v>
      </c>
      <c r="S89" s="2"/>
      <c r="T89" s="7">
        <v>1000</v>
      </c>
      <c r="U89" s="2"/>
      <c r="V89" s="6">
        <f t="shared" si="68"/>
        <v>6.5560013636482839E-3</v>
      </c>
      <c r="W89" s="2"/>
      <c r="X89" s="7">
        <f t="shared" si="69"/>
        <v>-1000</v>
      </c>
      <c r="Y89" s="2"/>
      <c r="Z89" s="6">
        <f t="shared" si="70"/>
        <v>-1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7">
        <v>53</v>
      </c>
      <c r="E90" s="2"/>
      <c r="F90" s="6">
        <f t="shared" si="63"/>
        <v>0</v>
      </c>
      <c r="G90" s="2"/>
      <c r="H90" s="7"/>
      <c r="I90" s="2"/>
      <c r="J90" s="6">
        <f t="shared" si="64"/>
        <v>0</v>
      </c>
      <c r="K90" s="2"/>
      <c r="L90" s="7">
        <f t="shared" si="65"/>
        <v>53</v>
      </c>
      <c r="M90" s="2"/>
      <c r="N90" s="6">
        <f t="shared" si="66"/>
        <v>0</v>
      </c>
      <c r="O90" s="11"/>
      <c r="P90" s="7">
        <v>578.04999999999995</v>
      </c>
      <c r="Q90" s="2"/>
      <c r="R90" s="6">
        <f t="shared" si="67"/>
        <v>2.7123318781226657E-2</v>
      </c>
      <c r="S90" s="2"/>
      <c r="T90" s="7"/>
      <c r="U90" s="2"/>
      <c r="V90" s="6">
        <f t="shared" si="68"/>
        <v>0</v>
      </c>
      <c r="W90" s="2"/>
      <c r="X90" s="7">
        <f t="shared" si="69"/>
        <v>578.04999999999995</v>
      </c>
      <c r="Y90" s="2"/>
      <c r="Z90" s="6">
        <f t="shared" si="70"/>
        <v>0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SUM(OSRRefD22_13x_0)</f>
        <v>0</v>
      </c>
      <c r="E91" s="1"/>
      <c r="F91" s="5">
        <f t="shared" ref="F91:F92" si="71">IF(D$12=0,0,D91/D$12)</f>
        <v>0</v>
      </c>
      <c r="G91" s="1"/>
      <c r="H91" s="1">
        <f>SUM(OSRRefH22_13x_0)</f>
        <v>0</v>
      </c>
      <c r="I91" s="1"/>
      <c r="J91" s="5">
        <f t="shared" ref="J91:J92" si="72">IF(H$12=0,0,H91/H$12)</f>
        <v>0</v>
      </c>
      <c r="K91" s="1"/>
      <c r="L91" s="1">
        <f t="shared" ref="L91:L92" si="73">+D91-H91</f>
        <v>0</v>
      </c>
      <c r="M91" s="1"/>
      <c r="N91" s="5">
        <f t="shared" ref="N91:N92" si="74">IF(H91=0,0,L91/H91)</f>
        <v>0</v>
      </c>
      <c r="O91" s="13"/>
      <c r="P91" s="1">
        <f>SUM(OSRRefP22_13x_0)</f>
        <v>14</v>
      </c>
      <c r="Q91" s="1"/>
      <c r="R91" s="5">
        <f t="shared" ref="R91:R92" si="75">IF(P$12=0,0,P91/P$12)</f>
        <v>6.5690937278293094E-4</v>
      </c>
      <c r="S91" s="1"/>
      <c r="T91" s="1">
        <f>SUM(OSRRefT22_13x_0)</f>
        <v>120</v>
      </c>
      <c r="U91" s="1"/>
      <c r="V91" s="5">
        <f t="shared" ref="V91:V92" si="76">IF(T$12=0,0,T91/T$12)</f>
        <v>7.8672016363779405E-4</v>
      </c>
      <c r="W91" s="1"/>
      <c r="X91" s="1">
        <f t="shared" ref="X91:X92" si="77">+P91-T91</f>
        <v>-106</v>
      </c>
      <c r="Y91" s="1"/>
      <c r="Z91" s="5">
        <f t="shared" ref="Z91:Z92" si="78">IF(T91=0,0,X91/T91)</f>
        <v>-0.8833333333333333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71"/>
        <v>0</v>
      </c>
      <c r="G92" s="2"/>
      <c r="H92" s="7"/>
      <c r="I92" s="2"/>
      <c r="J92" s="6">
        <f t="shared" si="72"/>
        <v>0</v>
      </c>
      <c r="K92" s="2"/>
      <c r="L92" s="7">
        <f t="shared" si="73"/>
        <v>0</v>
      </c>
      <c r="M92" s="2"/>
      <c r="N92" s="6">
        <f t="shared" si="74"/>
        <v>0</v>
      </c>
      <c r="O92" s="11"/>
      <c r="P92" s="7">
        <v>14</v>
      </c>
      <c r="Q92" s="2"/>
      <c r="R92" s="6">
        <f t="shared" si="75"/>
        <v>6.5690937278293094E-4</v>
      </c>
      <c r="S92" s="2"/>
      <c r="T92" s="7">
        <v>120</v>
      </c>
      <c r="U92" s="2"/>
      <c r="V92" s="6">
        <f t="shared" si="76"/>
        <v>7.8672016363779405E-4</v>
      </c>
      <c r="W92" s="2"/>
      <c r="X92" s="7">
        <f t="shared" si="77"/>
        <v>-106</v>
      </c>
      <c r="Y92" s="2"/>
      <c r="Z92" s="6">
        <f t="shared" si="78"/>
        <v>-0.8833333333333333</v>
      </c>
    </row>
    <row r="93" spans="1:26" s="61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293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277</v>
      </c>
      <c r="C96" s="28"/>
      <c r="D96" s="21">
        <f>+D38-D40+D94</f>
        <v>-72.489999999999995</v>
      </c>
      <c r="E96" s="14"/>
      <c r="F96" s="20">
        <f>IF(D$12=0,0,D96/D$12)</f>
        <v>0</v>
      </c>
      <c r="G96" s="14"/>
      <c r="H96" s="21">
        <f>+H38-H40+H94</f>
        <v>-10128.414349999999</v>
      </c>
      <c r="I96" s="14"/>
      <c r="J96" s="20">
        <f>IF(H$12=0,0,H96/H$12)</f>
        <v>-0.44925324240408071</v>
      </c>
      <c r="K96" s="16"/>
      <c r="L96" s="21">
        <f>+D96-H96</f>
        <v>10055.924349999999</v>
      </c>
      <c r="M96" s="16"/>
      <c r="N96" s="20">
        <f>IF(H96=0,0,L96/H96)</f>
        <v>-0.9928429073401801</v>
      </c>
      <c r="O96" s="29"/>
      <c r="P96" s="21">
        <f>+P38-P40+P94</f>
        <v>-5181.929999999993</v>
      </c>
      <c r="Q96" s="14"/>
      <c r="R96" s="20">
        <f>IF(P$12=0,0,P96/P$12)</f>
        <v>-0.24314702757893206</v>
      </c>
      <c r="S96" s="14"/>
      <c r="T96" s="21">
        <f>+T38-T40+T94</f>
        <v>-59088.161713999987</v>
      </c>
      <c r="U96" s="14"/>
      <c r="V96" s="20">
        <f>IF(T$12=0,0,T96/T$12)</f>
        <v>-0.38738206877245424</v>
      </c>
      <c r="W96" s="16"/>
      <c r="X96" s="21">
        <f>+P96-T96</f>
        <v>53906.231713999994</v>
      </c>
      <c r="Y96" s="16"/>
      <c r="Z96" s="20">
        <f>IF(T96=0,0,X96/T96)</f>
        <v>-0.91230172255008202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128</v>
      </c>
      <c r="C98" s="10"/>
      <c r="D98" s="4">
        <v>66.33</v>
      </c>
      <c r="E98" s="4"/>
      <c r="F98" s="12">
        <f>IF(D$12=0,0,D98/D$12)</f>
        <v>0</v>
      </c>
      <c r="G98" s="4"/>
      <c r="H98" s="4">
        <v>2142</v>
      </c>
      <c r="I98" s="4"/>
      <c r="J98" s="12">
        <f>IF(H$12=0,0,H98/H$12)</f>
        <v>9.5009980039920158E-2</v>
      </c>
      <c r="K98" s="4"/>
      <c r="L98" s="4">
        <f>+D98-H98</f>
        <v>-2075.67</v>
      </c>
      <c r="M98" s="4"/>
      <c r="N98" s="12">
        <f>IF(H98=0,0,L98/H98)</f>
        <v>-0.96903361344537819</v>
      </c>
      <c r="O98" s="10"/>
      <c r="P98" s="4">
        <v>4458.54</v>
      </c>
      <c r="Q98" s="4"/>
      <c r="R98" s="12">
        <f>IF(P$12=0,0,P98/P$12)</f>
        <v>0.20920405106625778</v>
      </c>
      <c r="S98" s="4"/>
      <c r="T98" s="4">
        <v>29115</v>
      </c>
      <c r="U98" s="4"/>
      <c r="V98" s="12">
        <f>IF(T$12=0,0,T98/T$12)</f>
        <v>0.19087797970261977</v>
      </c>
      <c r="W98" s="4"/>
      <c r="X98" s="4">
        <f>+P98-T98</f>
        <v>-24656.46</v>
      </c>
      <c r="Y98" s="4"/>
      <c r="Z98" s="12">
        <f>IF(T98=0,0,X98/T98)</f>
        <v>-0.84686450283359094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126</v>
      </c>
      <c r="C100" s="28"/>
      <c r="D100" s="31">
        <f>+D96-D98</f>
        <v>-138.82</v>
      </c>
      <c r="E100" s="14"/>
      <c r="F100" s="33">
        <f>IF(D$12=0,0,D100/D$12)</f>
        <v>0</v>
      </c>
      <c r="G100" s="14"/>
      <c r="H100" s="31">
        <f>+H96-H98</f>
        <v>-12270.414349999999</v>
      </c>
      <c r="I100" s="14"/>
      <c r="J100" s="33">
        <f>IF(H$12=0,0,H100/H$12)</f>
        <v>-0.54426322244400083</v>
      </c>
      <c r="K100" s="16"/>
      <c r="L100" s="31">
        <f>D100-H100</f>
        <v>12131.594349999999</v>
      </c>
      <c r="M100" s="16"/>
      <c r="N100" s="33">
        <f>IF(H100=0,0,L100/H100)</f>
        <v>-0.98868660861481017</v>
      </c>
      <c r="O100" s="29"/>
      <c r="P100" s="31">
        <f>+P96-P98</f>
        <v>-9640.4699999999939</v>
      </c>
      <c r="Q100" s="14"/>
      <c r="R100" s="33">
        <f>IF(P$12=0,0,P100/P$12)</f>
        <v>-0.45235107864518986</v>
      </c>
      <c r="S100" s="14"/>
      <c r="T100" s="31">
        <f>+T96-T98</f>
        <v>-88203.161713999987</v>
      </c>
      <c r="U100" s="14"/>
      <c r="V100" s="33">
        <f>IF(T$12=0,0,T100/T$12)</f>
        <v>-0.57826004847507395</v>
      </c>
      <c r="W100" s="16"/>
      <c r="X100" s="31">
        <f>P100-T100</f>
        <v>78562.691713999986</v>
      </c>
      <c r="Y100" s="16"/>
      <c r="Z100" s="33">
        <f>IF(T100=0,0,X100/T100)</f>
        <v>-0.89070153708027655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294</v>
      </c>
      <c r="C103" s="28"/>
      <c r="D103" s="34">
        <f>SUM(D100:D102)</f>
        <v>-138.82</v>
      </c>
      <c r="E103" s="14"/>
      <c r="F103" s="35">
        <f>IF(D$12=0,0,D103/D$12)</f>
        <v>0</v>
      </c>
      <c r="G103" s="14"/>
      <c r="H103" s="34">
        <f>SUM(H100:H102)</f>
        <v>-12270.414349999999</v>
      </c>
      <c r="I103" s="14"/>
      <c r="J103" s="35">
        <f>IF(H$12=0,0,H103/H$12)</f>
        <v>-0.54426322244400083</v>
      </c>
      <c r="K103" s="16"/>
      <c r="L103" s="34">
        <f>+D103-H103</f>
        <v>12131.594349999999</v>
      </c>
      <c r="M103" s="16"/>
      <c r="N103" s="35">
        <f>IF(H103=0,0,L103/H103)</f>
        <v>-0.98868660861481017</v>
      </c>
      <c r="O103" s="29"/>
      <c r="P103" s="34">
        <f>SUM(P100:P102)</f>
        <v>-9640.4699999999939</v>
      </c>
      <c r="Q103" s="14"/>
      <c r="R103" s="35">
        <f>IF(P$12=0,0,P103/P$12)</f>
        <v>-0.45235107864518986</v>
      </c>
      <c r="S103" s="14"/>
      <c r="T103" s="34">
        <f>SUM(T100:T102)</f>
        <v>-88203.161713999987</v>
      </c>
      <c r="U103" s="14"/>
      <c r="V103" s="35">
        <f>IF(T$12=0,0,T103/T$12)</f>
        <v>-0.57826004847507395</v>
      </c>
      <c r="W103" s="16"/>
      <c r="X103" s="34">
        <f>+P103-T103</f>
        <v>78562.691713999986</v>
      </c>
      <c r="Y103" s="16"/>
      <c r="Z103" s="35">
        <f>IF(T103=0,0,X103/T103)</f>
        <v>-0.89070153708027655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2">
        <v>44330.005810069444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6" t="s">
        <v>56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5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22545</v>
      </c>
      <c r="I12" s="4"/>
      <c r="J12" s="12"/>
      <c r="K12" s="4"/>
      <c r="L12" s="4">
        <f t="shared" ref="L12:L23" si="0">+D12-H12</f>
        <v>-22545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152532</v>
      </c>
      <c r="U12" s="4"/>
      <c r="V12" s="12"/>
      <c r="W12" s="4"/>
      <c r="X12" s="4">
        <f t="shared" ref="X12:X23" si="2">+P12-T12</f>
        <v>-131220.08000000002</v>
      </c>
      <c r="Y12" s="4"/>
      <c r="Z12" s="12">
        <f t="shared" ref="Z12:Z23" si="3">IF(T12=0,0,X12/T12)</f>
        <v>-0.86027902341803697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22545</v>
      </c>
      <c r="I20" s="2"/>
      <c r="J20" s="19"/>
      <c r="K20" s="2"/>
      <c r="L20" s="2">
        <f t="shared" si="0"/>
        <v>-22545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152532</v>
      </c>
      <c r="U20" s="2"/>
      <c r="V20" s="19"/>
      <c r="W20" s="2"/>
      <c r="X20" s="2">
        <f t="shared" si="2"/>
        <v>-152532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--1847.16</f>
        <v>1847.16</v>
      </c>
      <c r="Q21" s="2"/>
      <c r="R21" s="19"/>
      <c r="S21" s="2"/>
      <c r="T21" s="2"/>
      <c r="U21" s="2"/>
      <c r="V21" s="19"/>
      <c r="W21" s="2"/>
      <c r="X21" s="2">
        <f t="shared" si="2"/>
        <v>1847.16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-159.97</f>
        <v>-159.97</v>
      </c>
      <c r="Q22" s="2"/>
      <c r="R22" s="19"/>
      <c r="S22" s="2"/>
      <c r="T22" s="2"/>
      <c r="U22" s="2"/>
      <c r="V22" s="19"/>
      <c r="W22" s="2"/>
      <c r="X22" s="2">
        <f t="shared" si="2"/>
        <v>-159.97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-222.2</f>
        <v>-222.2</v>
      </c>
      <c r="Q23" s="2"/>
      <c r="R23" s="19"/>
      <c r="S23" s="2"/>
      <c r="T23" s="2"/>
      <c r="U23" s="2"/>
      <c r="V23" s="19"/>
      <c r="W23" s="2"/>
      <c r="X23" s="2">
        <f t="shared" si="2"/>
        <v>-222.2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257</v>
      </c>
      <c r="C25" s="10"/>
      <c r="D25" s="4">
        <f>SUM(OSRRefD16x_0)</f>
        <v>19.489999999999998</v>
      </c>
      <c r="E25" s="4"/>
      <c r="F25" s="12">
        <f t="shared" ref="F25:F33" si="5">IF(D$12=0,0,D25/D$12)</f>
        <v>0</v>
      </c>
      <c r="G25" s="4"/>
      <c r="H25" s="4">
        <f>SUM(OSRRefH16x_0)</f>
        <v>11295</v>
      </c>
      <c r="I25" s="4"/>
      <c r="J25" s="12">
        <f t="shared" ref="J25:J33" si="6">IF(H$12=0,0,H25/H$12)</f>
        <v>0.50099800399201599</v>
      </c>
      <c r="K25" s="4"/>
      <c r="L25" s="4">
        <f t="shared" ref="L25:L33" si="7">+D25-H25</f>
        <v>-11275.51</v>
      </c>
      <c r="M25" s="4"/>
      <c r="N25" s="12">
        <f t="shared" ref="N25:N33" si="8">IF(H25=0,0,L25/H25)</f>
        <v>-0.99827445772465695</v>
      </c>
      <c r="O25" s="10"/>
      <c r="P25" s="4">
        <f>SUM(OSRRefP16x_0)</f>
        <v>13792.989999999994</v>
      </c>
      <c r="Q25" s="4"/>
      <c r="R25" s="12">
        <f t="shared" ref="R25:R33" si="9">IF(P$12=0,0,P25/P$12)</f>
        <v>0.64719602926437392</v>
      </c>
      <c r="S25" s="4"/>
      <c r="T25" s="4">
        <f>SUM(OSRRefT16x_0)</f>
        <v>77221</v>
      </c>
      <c r="U25" s="4"/>
      <c r="V25" s="12">
        <f t="shared" ref="V25:V33" si="10">IF(T$12=0,0,T25/T$12)</f>
        <v>0.50626098130228414</v>
      </c>
      <c r="W25" s="4"/>
      <c r="X25" s="4">
        <f t="shared" ref="X25:X33" si="11">+P25-T25</f>
        <v>-63428.010000000009</v>
      </c>
      <c r="Y25" s="4"/>
      <c r="Z25" s="12">
        <f t="shared" ref="Z25:Z33" si="12">IF(T25=0,0,X25/T25)</f>
        <v>-0.82138291397417817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5"/>
        <v>0</v>
      </c>
      <c r="G26" s="2"/>
      <c r="H26" s="2">
        <v>11295</v>
      </c>
      <c r="I26" s="2"/>
      <c r="J26" s="19">
        <f t="shared" si="6"/>
        <v>0.50099800399201599</v>
      </c>
      <c r="K26" s="2"/>
      <c r="L26" s="2">
        <f t="shared" si="7"/>
        <v>-11295</v>
      </c>
      <c r="M26" s="2"/>
      <c r="N26" s="19">
        <f t="shared" si="8"/>
        <v>-1</v>
      </c>
      <c r="O26" s="11"/>
      <c r="P26" s="2"/>
      <c r="Q26" s="2"/>
      <c r="R26" s="19">
        <f t="shared" si="9"/>
        <v>0</v>
      </c>
      <c r="S26" s="2"/>
      <c r="T26" s="2">
        <v>77221</v>
      </c>
      <c r="U26" s="2"/>
      <c r="V26" s="19">
        <f t="shared" si="10"/>
        <v>0.50626098130228414</v>
      </c>
      <c r="W26" s="2"/>
      <c r="X26" s="2">
        <f t="shared" si="11"/>
        <v>-77221</v>
      </c>
      <c r="Y26" s="2"/>
      <c r="Z26" s="19">
        <f t="shared" si="12"/>
        <v>-1</v>
      </c>
    </row>
    <row r="27" spans="1:26" s="24" customFormat="1" hidden="1" outlineLevel="1" x14ac:dyDescent="0.25">
      <c r="A27" s="44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364.91</v>
      </c>
      <c r="Q27" s="2"/>
      <c r="R27" s="19">
        <f t="shared" si="9"/>
        <v>1.7122342801587094E-2</v>
      </c>
      <c r="S27" s="2"/>
      <c r="T27" s="2"/>
      <c r="U27" s="2"/>
      <c r="V27" s="19">
        <f t="shared" si="10"/>
        <v>0</v>
      </c>
      <c r="W27" s="2"/>
      <c r="X27" s="2">
        <f t="shared" si="11"/>
        <v>364.91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895.47</v>
      </c>
      <c r="Q28" s="2"/>
      <c r="R28" s="19">
        <f t="shared" si="9"/>
        <v>4.201733114613794E-2</v>
      </c>
      <c r="S28" s="2"/>
      <c r="T28" s="2"/>
      <c r="U28" s="2"/>
      <c r="V28" s="19">
        <f t="shared" si="10"/>
        <v>0</v>
      </c>
      <c r="W28" s="2"/>
      <c r="X28" s="2">
        <f t="shared" si="11"/>
        <v>895.47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41441.85</v>
      </c>
      <c r="Q29" s="2"/>
      <c r="R29" s="19">
        <f t="shared" si="9"/>
        <v>1.9445385493188789</v>
      </c>
      <c r="S29" s="2"/>
      <c r="T29" s="2"/>
      <c r="U29" s="2"/>
      <c r="V29" s="19">
        <f t="shared" si="10"/>
        <v>0</v>
      </c>
      <c r="W29" s="2"/>
      <c r="X29" s="2">
        <f t="shared" si="11"/>
        <v>41441.85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2441.5700000000002</v>
      </c>
      <c r="Q30" s="2"/>
      <c r="R30" s="19">
        <f t="shared" si="9"/>
        <v>0.11456358695040149</v>
      </c>
      <c r="S30" s="2"/>
      <c r="T30" s="2"/>
      <c r="U30" s="2"/>
      <c r="V30" s="19">
        <f t="shared" si="10"/>
        <v>0</v>
      </c>
      <c r="W30" s="2"/>
      <c r="X30" s="2">
        <f t="shared" si="11"/>
        <v>2441.5700000000002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-45863.33</v>
      </c>
      <c r="Q31" s="2"/>
      <c r="R31" s="19">
        <f t="shared" si="9"/>
        <v>-2.1520036674311842</v>
      </c>
      <c r="S31" s="2"/>
      <c r="T31" s="2"/>
      <c r="U31" s="2"/>
      <c r="V31" s="19">
        <f t="shared" si="10"/>
        <v>0</v>
      </c>
      <c r="W31" s="2"/>
      <c r="X31" s="2">
        <f t="shared" si="11"/>
        <v>-45863.33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14145</v>
      </c>
      <c r="Q32" s="2"/>
      <c r="R32" s="19">
        <f t="shared" si="9"/>
        <v>0.66371307700103988</v>
      </c>
      <c r="S32" s="2"/>
      <c r="T32" s="2"/>
      <c r="U32" s="2"/>
      <c r="V32" s="19">
        <f t="shared" si="10"/>
        <v>0</v>
      </c>
      <c r="W32" s="2"/>
      <c r="X32" s="2">
        <f t="shared" si="11"/>
        <v>14145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"5528", " - ", "FREIGHT-IN-ART/TECH")</f>
        <v xml:space="preserve">          5528 - FREIGHT-IN-ART/TECH</v>
      </c>
      <c r="C33" s="11"/>
      <c r="D33" s="2">
        <v>19.489999999999998</v>
      </c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19.489999999999998</v>
      </c>
      <c r="M33" s="2"/>
      <c r="N33" s="19">
        <f t="shared" si="8"/>
        <v>0</v>
      </c>
      <c r="O33" s="11"/>
      <c r="P33" s="2">
        <v>367.52</v>
      </c>
      <c r="Q33" s="2"/>
      <c r="R33" s="19">
        <f t="shared" si="9"/>
        <v>1.7244809477513053E-2</v>
      </c>
      <c r="S33" s="2"/>
      <c r="T33" s="2"/>
      <c r="U33" s="2"/>
      <c r="V33" s="19">
        <f t="shared" si="10"/>
        <v>0</v>
      </c>
      <c r="W33" s="2"/>
      <c r="X33" s="2">
        <f t="shared" si="11"/>
        <v>367.52</v>
      </c>
      <c r="Y33" s="2"/>
      <c r="Z33" s="19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8" t="s">
        <v>108</v>
      </c>
      <c r="C35" s="28"/>
      <c r="D35" s="21">
        <f>D12-D25</f>
        <v>-19.489999999999998</v>
      </c>
      <c r="E35" s="14"/>
      <c r="F35" s="20">
        <f>IF(D$12=0,0,D35/D$12)</f>
        <v>0</v>
      </c>
      <c r="G35" s="14"/>
      <c r="H35" s="21">
        <f>H12-H25</f>
        <v>11250</v>
      </c>
      <c r="I35" s="14"/>
      <c r="J35" s="20">
        <f>IF(H$12=0,0,H35/H$12)</f>
        <v>0.49900199600798401</v>
      </c>
      <c r="K35" s="16"/>
      <c r="L35" s="21">
        <f>+D35-H35</f>
        <v>-11269.49</v>
      </c>
      <c r="M35" s="16"/>
      <c r="N35" s="20">
        <f>IF(H35=0,0,L35/H35)</f>
        <v>-1.0017324444444444</v>
      </c>
      <c r="O35" s="29"/>
      <c r="P35" s="21">
        <f>P12-P25</f>
        <v>7518.9300000000039</v>
      </c>
      <c r="Q35" s="14"/>
      <c r="R35" s="20">
        <f>IF(P$12=0,0,P35/P$12)</f>
        <v>0.35280397073562608</v>
      </c>
      <c r="S35" s="14"/>
      <c r="T35" s="21">
        <f>T12-T25</f>
        <v>75311</v>
      </c>
      <c r="U35" s="14"/>
      <c r="V35" s="20">
        <f>IF(T$12=0,0,T35/T$12)</f>
        <v>0.49373901869771591</v>
      </c>
      <c r="W35" s="16"/>
      <c r="X35" s="21">
        <f>+P35-T35</f>
        <v>-67792.069999999992</v>
      </c>
      <c r="Y35" s="16"/>
      <c r="Z35" s="20">
        <f>IF(T35=0,0,X35/T35)</f>
        <v>-0.90016159657951689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9" t="s">
        <v>295</v>
      </c>
      <c r="C37" s="10"/>
      <c r="D37" s="22">
        <f>SUM(OSRRefD22x_0)</f>
        <v>53</v>
      </c>
      <c r="E37" s="22"/>
      <c r="F37" s="32">
        <f t="shared" ref="F37:F46" si="13">IF(D$12=0,0,D37/D$12)</f>
        <v>0</v>
      </c>
      <c r="G37" s="22"/>
      <c r="H37" s="22">
        <f>SUM(OSRRefH22x_0)</f>
        <v>21378.414349999999</v>
      </c>
      <c r="I37" s="22"/>
      <c r="J37" s="32">
        <f t="shared" ref="J37:J46" si="14">IF(H$12=0,0,H37/H$12)</f>
        <v>0.94825523841206472</v>
      </c>
      <c r="K37" s="4"/>
      <c r="L37" s="22">
        <f t="shared" ref="L37:L46" si="15">+D37-H37</f>
        <v>-21325.414349999999</v>
      </c>
      <c r="M37" s="4"/>
      <c r="N37" s="32">
        <f t="shared" ref="N37:N46" si="16">IF(H37=0,0,L37/H37)</f>
        <v>-0.99752086384273864</v>
      </c>
      <c r="O37" s="10"/>
      <c r="P37" s="22">
        <f>SUM(OSRRefP22x_0)</f>
        <v>12700.859999999997</v>
      </c>
      <c r="Q37" s="22"/>
      <c r="R37" s="32">
        <f t="shared" ref="R37:R46" si="17">IF(P$12=0,0,P37/P$12)</f>
        <v>0.59595099831455811</v>
      </c>
      <c r="S37" s="22"/>
      <c r="T37" s="22">
        <f>SUM(OSRRefT22x_0)</f>
        <v>134399.16171399999</v>
      </c>
      <c r="U37" s="22"/>
      <c r="V37" s="32">
        <f t="shared" ref="V37:V46" si="18">IF(T$12=0,0,T37/T$12)</f>
        <v>0.88112108747017015</v>
      </c>
      <c r="W37" s="4"/>
      <c r="X37" s="22">
        <f t="shared" ref="X37:X46" si="19">+P37-T37</f>
        <v>-121698.30171399999</v>
      </c>
      <c r="Y37" s="4"/>
      <c r="Z37" s="32">
        <f t="shared" ref="Z37:Z46" si="20">IF(T37=0,0,X37/T37)</f>
        <v>-0.90549896414512387</v>
      </c>
    </row>
    <row r="38" spans="1:26" s="25" customFormat="1" outlineLevel="1" collapsed="1" x14ac:dyDescent="0.25">
      <c r="A38" s="27"/>
      <c r="B38" s="13" t="str">
        <f>CONCATENATE("     ","*Benefits                                         ")</f>
        <v xml:space="preserve">     *Benefits                                         </v>
      </c>
      <c r="C38" s="13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2706.4643499999997</v>
      </c>
      <c r="I38" s="1"/>
      <c r="J38" s="5">
        <f t="shared" si="14"/>
        <v>0.12004721002439564</v>
      </c>
      <c r="K38" s="1"/>
      <c r="L38" s="1">
        <f t="shared" si="15"/>
        <v>-2706.4643499999997</v>
      </c>
      <c r="M38" s="1"/>
      <c r="N38" s="5">
        <f t="shared" si="16"/>
        <v>-1</v>
      </c>
      <c r="O38" s="13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20781.701713999999</v>
      </c>
      <c r="U38" s="1"/>
      <c r="V38" s="5">
        <f t="shared" si="18"/>
        <v>0.13624486477591585</v>
      </c>
      <c r="W38" s="1"/>
      <c r="X38" s="1">
        <f t="shared" si="19"/>
        <v>-20003.501713999998</v>
      </c>
      <c r="Y38" s="1"/>
      <c r="Z38" s="5">
        <f t="shared" si="20"/>
        <v>-0.96255359591290102</v>
      </c>
    </row>
    <row r="39" spans="1:26" s="24" customFormat="1" hidden="1" outlineLevel="2" x14ac:dyDescent="0.25">
      <c r="A39" s="26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684.82870500000001</v>
      </c>
      <c r="I39" s="2"/>
      <c r="J39" s="6">
        <f t="shared" si="14"/>
        <v>3.0376079174983368E-2</v>
      </c>
      <c r="K39" s="2"/>
      <c r="L39" s="7">
        <f t="shared" si="15"/>
        <v>-684.82870500000001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4686.9727080000002</v>
      </c>
      <c r="U39" s="2"/>
      <c r="V39" s="6">
        <f t="shared" si="18"/>
        <v>3.0727799465030289E-2</v>
      </c>
      <c r="W39" s="2"/>
      <c r="X39" s="7">
        <f t="shared" si="19"/>
        <v>-4202.3627080000006</v>
      </c>
      <c r="Y39" s="2"/>
      <c r="Z39" s="6">
        <f t="shared" si="20"/>
        <v>-0.8966049025263495</v>
      </c>
    </row>
    <row r="40" spans="1:26" s="24" customFormat="1" hidden="1" outlineLevel="2" x14ac:dyDescent="0.25">
      <c r="A40" s="26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291.59607499999998</v>
      </c>
      <c r="I40" s="2"/>
      <c r="J40" s="6">
        <f t="shared" si="14"/>
        <v>1.2933957640275004E-2</v>
      </c>
      <c r="K40" s="2"/>
      <c r="L40" s="7">
        <f t="shared" si="15"/>
        <v>-291.59607499999998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1663.25101</v>
      </c>
      <c r="U40" s="2"/>
      <c r="V40" s="6">
        <f t="shared" si="18"/>
        <v>1.0904275889649385E-2</v>
      </c>
      <c r="W40" s="2"/>
      <c r="X40" s="7">
        <f t="shared" si="19"/>
        <v>-1407.68101</v>
      </c>
      <c r="Y40" s="2"/>
      <c r="Z40" s="6">
        <f t="shared" si="20"/>
        <v>-0.84634309646383443</v>
      </c>
    </row>
    <row r="41" spans="1:26" s="24" customFormat="1" hidden="1" outlineLevel="2" x14ac:dyDescent="0.25">
      <c r="A41" s="26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2.9496562430694168E-2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6650</v>
      </c>
      <c r="U41" s="2"/>
      <c r="V41" s="6">
        <f t="shared" si="18"/>
        <v>4.3597409068261088E-2</v>
      </c>
      <c r="W41" s="2"/>
      <c r="X41" s="7">
        <f t="shared" si="19"/>
        <v>-6650</v>
      </c>
      <c r="Y41" s="2"/>
      <c r="Z41" s="6">
        <f t="shared" si="20"/>
        <v>-1</v>
      </c>
    </row>
    <row r="42" spans="1:26" s="24" customFormat="1" hidden="1" outlineLevel="2" x14ac:dyDescent="0.25">
      <c r="A42" s="26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40.981070000000003</v>
      </c>
      <c r="I42" s="2"/>
      <c r="J42" s="6">
        <f t="shared" si="14"/>
        <v>1.8177453980927035E-3</v>
      </c>
      <c r="K42" s="2"/>
      <c r="L42" s="7">
        <f t="shared" si="15"/>
        <v>-40.981070000000003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233.75419600000001</v>
      </c>
      <c r="U42" s="2"/>
      <c r="V42" s="6">
        <f t="shared" si="18"/>
        <v>1.5324928277345082E-3</v>
      </c>
      <c r="W42" s="2"/>
      <c r="X42" s="7">
        <f t="shared" si="19"/>
        <v>-195.734196</v>
      </c>
      <c r="Y42" s="2"/>
      <c r="Z42" s="6">
        <f t="shared" si="20"/>
        <v>-0.83735051327164189</v>
      </c>
    </row>
    <row r="43" spans="1:26" s="24" customFormat="1" hidden="1" outlineLevel="2" x14ac:dyDescent="0.25">
      <c r="A43" s="26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447.2</v>
      </c>
      <c r="I43" s="2"/>
      <c r="J43" s="6">
        <f t="shared" si="14"/>
        <v>1.9835883787979597E-2</v>
      </c>
      <c r="K43" s="2"/>
      <c r="L43" s="7">
        <f t="shared" si="15"/>
        <v>-447.2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3935.36</v>
      </c>
      <c r="U43" s="2"/>
      <c r="V43" s="6">
        <f t="shared" si="18"/>
        <v>2.580022552644691E-2</v>
      </c>
      <c r="W43" s="2"/>
      <c r="X43" s="7">
        <f t="shared" si="19"/>
        <v>-3935.36</v>
      </c>
      <c r="Y43" s="2"/>
      <c r="Z43" s="6">
        <f t="shared" si="20"/>
        <v>-1</v>
      </c>
    </row>
    <row r="44" spans="1:26" s="24" customFormat="1" hidden="1" outlineLevel="2" x14ac:dyDescent="0.25">
      <c r="A44" s="26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6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156</v>
      </c>
      <c r="I45" s="2"/>
      <c r="J45" s="6">
        <f t="shared" si="14"/>
        <v>6.9194943446440451E-3</v>
      </c>
      <c r="K45" s="2"/>
      <c r="L45" s="7">
        <f t="shared" si="15"/>
        <v>-156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1372.8</v>
      </c>
      <c r="U45" s="2"/>
      <c r="V45" s="6">
        <f t="shared" si="18"/>
        <v>9.0000786720163643E-3</v>
      </c>
      <c r="W45" s="2"/>
      <c r="X45" s="7">
        <f t="shared" si="19"/>
        <v>-1372.8</v>
      </c>
      <c r="Y45" s="2"/>
      <c r="Z45" s="6">
        <f t="shared" si="20"/>
        <v>-1</v>
      </c>
    </row>
    <row r="46" spans="1:26" s="24" customFormat="1" hidden="1" outlineLevel="2" x14ac:dyDescent="0.25">
      <c r="A46" s="26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420.85849999999999</v>
      </c>
      <c r="I46" s="2"/>
      <c r="J46" s="6">
        <f t="shared" si="14"/>
        <v>1.866748724772677E-2</v>
      </c>
      <c r="K46" s="2"/>
      <c r="L46" s="7">
        <f t="shared" si="15"/>
        <v>-420.85849999999999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2239.5637999999999</v>
      </c>
      <c r="U46" s="2"/>
      <c r="V46" s="6">
        <f t="shared" si="18"/>
        <v>1.4682583326777332E-2</v>
      </c>
      <c r="W46" s="2"/>
      <c r="X46" s="7">
        <f t="shared" si="19"/>
        <v>-2239.5637999999999</v>
      </c>
      <c r="Y46" s="2"/>
      <c r="Z46" s="6">
        <f t="shared" si="20"/>
        <v>-1</v>
      </c>
    </row>
    <row r="47" spans="1:26" s="25" customFormat="1" outlineLevel="1" collapsed="1" x14ac:dyDescent="0.25">
      <c r="A47" s="27"/>
      <c r="B47" s="13" t="str">
        <f>CONCATENATE("     ","*Payroll                                          ")</f>
        <v xml:space="preserve">     *Payroll                                          </v>
      </c>
      <c r="C47" s="13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15501.95</v>
      </c>
      <c r="I47" s="1"/>
      <c r="J47" s="5">
        <f t="shared" ref="J47:J57" si="22">IF(H$12=0,0,H47/H$12)</f>
        <v>0.6876003548458639</v>
      </c>
      <c r="K47" s="1"/>
      <c r="L47" s="1">
        <f t="shared" ref="L47:L57" si="23">+D47-H47</f>
        <v>-15501.95</v>
      </c>
      <c r="M47" s="1"/>
      <c r="N47" s="5">
        <f t="shared" ref="N47:N57" si="24">IF(H47=0,0,L47/H47)</f>
        <v>-1</v>
      </c>
      <c r="O47" s="13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87617.46</v>
      </c>
      <c r="U47" s="1"/>
      <c r="V47" s="5">
        <f t="shared" ref="V47:V57" si="26">IF(T$12=0,0,T47/T$12)</f>
        <v>0.57442018723939903</v>
      </c>
      <c r="W47" s="1"/>
      <c r="X47" s="1">
        <f t="shared" ref="X47:X57" si="27">+P47-T47</f>
        <v>-79464.920000000013</v>
      </c>
      <c r="Y47" s="1"/>
      <c r="Z47" s="5">
        <f t="shared" ref="Z47:Z57" si="28">IF(T47=0,0,X47/T47)</f>
        <v>-0.90695302055092675</v>
      </c>
    </row>
    <row r="48" spans="1:26" s="24" customFormat="1" hidden="1" outlineLevel="2" x14ac:dyDescent="0.25">
      <c r="A48" s="26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4940</v>
      </c>
      <c r="I48" s="2"/>
      <c r="J48" s="6">
        <f t="shared" si="22"/>
        <v>0.2191173209137281</v>
      </c>
      <c r="K48" s="2"/>
      <c r="L48" s="7">
        <f t="shared" si="23"/>
        <v>-4940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43472</v>
      </c>
      <c r="U48" s="2"/>
      <c r="V48" s="6">
        <f t="shared" si="26"/>
        <v>0.28500249128051819</v>
      </c>
      <c r="W48" s="2"/>
      <c r="X48" s="7">
        <f t="shared" si="27"/>
        <v>-43472</v>
      </c>
      <c r="Y48" s="2"/>
      <c r="Z48" s="6">
        <f t="shared" si="28"/>
        <v>-1</v>
      </c>
    </row>
    <row r="49" spans="1:26" s="24" customFormat="1" hidden="1" outlineLevel="2" x14ac:dyDescent="0.25">
      <c r="A49" s="26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6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6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3748.5</v>
      </c>
      <c r="I51" s="2"/>
      <c r="J51" s="6">
        <f t="shared" si="22"/>
        <v>0.16626746506986029</v>
      </c>
      <c r="K51" s="2"/>
      <c r="L51" s="7">
        <f t="shared" si="23"/>
        <v>-3748.5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15483.6</v>
      </c>
      <c r="U51" s="2"/>
      <c r="V51" s="6">
        <f t="shared" si="26"/>
        <v>0.10151050271418456</v>
      </c>
      <c r="W51" s="2"/>
      <c r="X51" s="7">
        <f t="shared" si="27"/>
        <v>-15483.6</v>
      </c>
      <c r="Y51" s="2"/>
      <c r="Z51" s="6">
        <f t="shared" si="28"/>
        <v>-1</v>
      </c>
    </row>
    <row r="52" spans="1:26" s="24" customFormat="1" hidden="1" outlineLevel="2" x14ac:dyDescent="0.25">
      <c r="A52" s="26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3430</v>
      </c>
      <c r="I52" s="2"/>
      <c r="J52" s="6">
        <f t="shared" si="22"/>
        <v>0.15214016411621201</v>
      </c>
      <c r="K52" s="2"/>
      <c r="L52" s="7">
        <f t="shared" si="23"/>
        <v>-3430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10626</v>
      </c>
      <c r="U52" s="2"/>
      <c r="V52" s="6">
        <f t="shared" si="26"/>
        <v>6.9664070490126656E-2</v>
      </c>
      <c r="W52" s="2"/>
      <c r="X52" s="7">
        <f t="shared" si="27"/>
        <v>-5246.81</v>
      </c>
      <c r="Y52" s="2"/>
      <c r="Z52" s="6">
        <f t="shared" si="28"/>
        <v>-0.49377093920572185</v>
      </c>
    </row>
    <row r="53" spans="1:26" s="24" customFormat="1" hidden="1" outlineLevel="2" x14ac:dyDescent="0.25">
      <c r="A53" s="26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6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6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3383.45</v>
      </c>
      <c r="I55" s="2"/>
      <c r="J55" s="6">
        <f t="shared" si="22"/>
        <v>0.15007540474606343</v>
      </c>
      <c r="K55" s="2"/>
      <c r="L55" s="7">
        <f t="shared" si="23"/>
        <v>-3383.45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18035.86</v>
      </c>
      <c r="U55" s="2"/>
      <c r="V55" s="6">
        <f t="shared" si="26"/>
        <v>0.11824312275456954</v>
      </c>
      <c r="W55" s="2"/>
      <c r="X55" s="7">
        <f t="shared" si="27"/>
        <v>-18035.86</v>
      </c>
      <c r="Y55" s="2"/>
      <c r="Z55" s="6">
        <f t="shared" si="28"/>
        <v>-1</v>
      </c>
    </row>
    <row r="56" spans="1:26" s="24" customFormat="1" hidden="1" outlineLevel="2" x14ac:dyDescent="0.25">
      <c r="A56" s="26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6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5" customFormat="1" outlineLevel="1" collapsed="1" x14ac:dyDescent="0.25">
      <c r="A58" s="27"/>
      <c r="B58" s="13" t="str">
        <f>CONCATENATE("     ","Advertising/Promo                                 ")</f>
        <v xml:space="preserve">     Advertising/Promo                                 </v>
      </c>
      <c r="C58" s="13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4.4355732978487473E-3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3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900</v>
      </c>
      <c r="U58" s="1"/>
      <c r="V58" s="5">
        <f t="shared" ref="V58:V66" si="34">IF(T$12=0,0,T58/T$12)</f>
        <v>5.9004012272834555E-3</v>
      </c>
      <c r="W58" s="1"/>
      <c r="X58" s="1">
        <f t="shared" ref="X58:X66" si="35">+P58-T58</f>
        <v>-775.28</v>
      </c>
      <c r="Y58" s="1"/>
      <c r="Z58" s="5">
        <f t="shared" ref="Z58:Z66" si="36">IF(T58=0,0,X58/T58)</f>
        <v>-0.8614222222222222</v>
      </c>
    </row>
    <row r="59" spans="1:26" s="24" customFormat="1" hidden="1" outlineLevel="2" x14ac:dyDescent="0.25">
      <c r="A59" s="26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4.4355732978487473E-3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900</v>
      </c>
      <c r="U59" s="2"/>
      <c r="V59" s="6">
        <f t="shared" si="34"/>
        <v>5.9004012272834555E-3</v>
      </c>
      <c r="W59" s="2"/>
      <c r="X59" s="7">
        <f t="shared" si="35"/>
        <v>-775.28</v>
      </c>
      <c r="Y59" s="2"/>
      <c r="Z59" s="6">
        <f t="shared" si="36"/>
        <v>-0.8614222222222222</v>
      </c>
    </row>
    <row r="60" spans="1:26" s="25" customFormat="1" outlineLevel="1" collapsed="1" x14ac:dyDescent="0.25">
      <c r="A60" s="27"/>
      <c r="B60" s="13" t="str">
        <f>CONCATENATE("     ","Bad Debts/Over/Short                              ")</f>
        <v xml:space="preserve">     Bad Debts/Over/Short                              </v>
      </c>
      <c r="C60" s="13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3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6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5" customFormat="1" outlineLevel="1" collapsed="1" x14ac:dyDescent="0.25">
      <c r="A62" s="27"/>
      <c r="B62" s="13" t="str">
        <f>CONCATENATE("     ","Bank/card Fees                                    ")</f>
        <v xml:space="preserve">     Bank/card Fees                                    </v>
      </c>
      <c r="C62" s="13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1552</v>
      </c>
      <c r="I62" s="1"/>
      <c r="J62" s="5">
        <f t="shared" si="30"/>
        <v>6.8840097582612558E-2</v>
      </c>
      <c r="K62" s="1"/>
      <c r="L62" s="1">
        <f t="shared" si="31"/>
        <v>-1552</v>
      </c>
      <c r="M62" s="1"/>
      <c r="N62" s="5">
        <f t="shared" si="32"/>
        <v>-1</v>
      </c>
      <c r="O62" s="13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9997</v>
      </c>
      <c r="U62" s="1"/>
      <c r="V62" s="5">
        <f t="shared" si="34"/>
        <v>6.5540345632391889E-2</v>
      </c>
      <c r="W62" s="1"/>
      <c r="X62" s="1">
        <f t="shared" si="35"/>
        <v>-9997</v>
      </c>
      <c r="Y62" s="1"/>
      <c r="Z62" s="5">
        <f t="shared" si="36"/>
        <v>-1</v>
      </c>
    </row>
    <row r="63" spans="1:26" s="24" customFormat="1" hidden="1" outlineLevel="2" x14ac:dyDescent="0.25">
      <c r="A63" s="26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1552</v>
      </c>
      <c r="I63" s="2"/>
      <c r="J63" s="6">
        <f t="shared" si="30"/>
        <v>6.8840097582612558E-2</v>
      </c>
      <c r="K63" s="2"/>
      <c r="L63" s="7">
        <f t="shared" si="31"/>
        <v>-1552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9997</v>
      </c>
      <c r="U63" s="2"/>
      <c r="V63" s="6">
        <f t="shared" si="34"/>
        <v>6.5540345632391889E-2</v>
      </c>
      <c r="W63" s="2"/>
      <c r="X63" s="7">
        <f t="shared" si="35"/>
        <v>-9997</v>
      </c>
      <c r="Y63" s="2"/>
      <c r="Z63" s="6">
        <f t="shared" si="36"/>
        <v>-1</v>
      </c>
    </row>
    <row r="64" spans="1:26" s="25" customFormat="1" outlineLevel="1" collapsed="1" x14ac:dyDescent="0.25">
      <c r="A64" s="27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496</v>
      </c>
      <c r="I64" s="1"/>
      <c r="J64" s="5">
        <f t="shared" si="30"/>
        <v>2.2000443557329784E-2</v>
      </c>
      <c r="K64" s="1"/>
      <c r="L64" s="1">
        <f t="shared" si="31"/>
        <v>-496</v>
      </c>
      <c r="M64" s="1"/>
      <c r="N64" s="5">
        <f t="shared" si="32"/>
        <v>-1</v>
      </c>
      <c r="O64" s="13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3338</v>
      </c>
      <c r="U64" s="1"/>
      <c r="V64" s="5">
        <f t="shared" si="34"/>
        <v>2.1883932551857971E-2</v>
      </c>
      <c r="W64" s="1"/>
      <c r="X64" s="1">
        <f t="shared" si="35"/>
        <v>-3338</v>
      </c>
      <c r="Y64" s="1"/>
      <c r="Z64" s="5">
        <f t="shared" si="36"/>
        <v>-1</v>
      </c>
    </row>
    <row r="65" spans="1:26" s="24" customFormat="1" hidden="1" outlineLevel="2" x14ac:dyDescent="0.25">
      <c r="A65" s="26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496</v>
      </c>
      <c r="I65" s="2"/>
      <c r="J65" s="6">
        <f t="shared" si="30"/>
        <v>2.2000443557329784E-2</v>
      </c>
      <c r="K65" s="2"/>
      <c r="L65" s="7">
        <f t="shared" si="31"/>
        <v>-496</v>
      </c>
      <c r="M65" s="2"/>
      <c r="N65" s="6">
        <f t="shared" si="32"/>
        <v>-1</v>
      </c>
      <c r="O65" s="11"/>
      <c r="P65" s="7">
        <v>0</v>
      </c>
      <c r="Q65" s="2"/>
      <c r="R65" s="6">
        <f t="shared" si="33"/>
        <v>0</v>
      </c>
      <c r="S65" s="2"/>
      <c r="T65" s="7">
        <v>3338</v>
      </c>
      <c r="U65" s="2"/>
      <c r="V65" s="6">
        <f t="shared" si="34"/>
        <v>2.1883932551857971E-2</v>
      </c>
      <c r="W65" s="2"/>
      <c r="X65" s="7">
        <f t="shared" si="35"/>
        <v>-3338</v>
      </c>
      <c r="Y65" s="2"/>
      <c r="Z65" s="6">
        <f t="shared" si="36"/>
        <v>-1</v>
      </c>
    </row>
    <row r="66" spans="1:26" s="24" customFormat="1" hidden="1" outlineLevel="2" x14ac:dyDescent="0.25">
      <c r="A66" s="26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5" customFormat="1" outlineLevel="1" collapsed="1" x14ac:dyDescent="0.25">
      <c r="A67" s="27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248</v>
      </c>
      <c r="I67" s="1"/>
      <c r="J67" s="5">
        <f t="shared" ref="J67:J75" si="38">IF(H$12=0,0,H67/H$12)</f>
        <v>1.1000221778664892E-2</v>
      </c>
      <c r="K67" s="1"/>
      <c r="L67" s="1">
        <f t="shared" ref="L67:L75" si="39">+D67-H67</f>
        <v>-248</v>
      </c>
      <c r="M67" s="1"/>
      <c r="N67" s="5">
        <f t="shared" ref="N67:N75" si="40">IF(H67=0,0,L67/H67)</f>
        <v>-1</v>
      </c>
      <c r="O67" s="13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2479</v>
      </c>
      <c r="U67" s="1"/>
      <c r="V67" s="5">
        <f t="shared" ref="V67:V75" si="42">IF(T$12=0,0,T67/T$12)</f>
        <v>1.6252327380484096E-2</v>
      </c>
      <c r="W67" s="1"/>
      <c r="X67" s="1">
        <f t="shared" ref="X67:X75" si="43">+P67-T67</f>
        <v>-2479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6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248</v>
      </c>
      <c r="I68" s="2"/>
      <c r="J68" s="6">
        <f t="shared" si="38"/>
        <v>1.1000221778664892E-2</v>
      </c>
      <c r="K68" s="2"/>
      <c r="L68" s="7">
        <f t="shared" si="39"/>
        <v>-248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2479</v>
      </c>
      <c r="U68" s="2"/>
      <c r="V68" s="6">
        <f t="shared" si="42"/>
        <v>1.6252327380484096E-2</v>
      </c>
      <c r="W68" s="2"/>
      <c r="X68" s="7">
        <f t="shared" si="43"/>
        <v>-2479</v>
      </c>
      <c r="Y68" s="2"/>
      <c r="Z68" s="6">
        <f t="shared" si="44"/>
        <v>-1</v>
      </c>
    </row>
    <row r="69" spans="1:26" s="25" customFormat="1" outlineLevel="1" collapsed="1" x14ac:dyDescent="0.25">
      <c r="A69" s="27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6.5560013636482839E-3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6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6.5560013636482839E-3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5" customFormat="1" outlineLevel="1" collapsed="1" x14ac:dyDescent="0.25">
      <c r="A71" s="27"/>
      <c r="B71" s="13" t="str">
        <f>CONCATENATE("     ","Professional Services                             ")</f>
        <v xml:space="preserve">     Professional Services                             </v>
      </c>
      <c r="C71" s="13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3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5.2448010909186271E-3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6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5.2448010909186271E-3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5" customFormat="1" outlineLevel="1" collapsed="1" x14ac:dyDescent="0.25">
      <c r="A73" s="27"/>
      <c r="B73" s="13" t="str">
        <f>CONCATENATE("     ","Repair and Maintenance                            ")</f>
        <v xml:space="preserve">     Repair and Maintenance                            </v>
      </c>
      <c r="C73" s="13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4.4355732978487473E-3</v>
      </c>
      <c r="K73" s="1"/>
      <c r="L73" s="1">
        <f t="shared" si="39"/>
        <v>-100</v>
      </c>
      <c r="M73" s="1"/>
      <c r="N73" s="5">
        <f t="shared" si="40"/>
        <v>-1</v>
      </c>
      <c r="O73" s="13"/>
      <c r="P73" s="1">
        <f>SUM(OSRRefP22_9x_0)</f>
        <v>261.93</v>
      </c>
      <c r="Q73" s="1"/>
      <c r="R73" s="5">
        <f t="shared" si="41"/>
        <v>1.2290305143788078E-2</v>
      </c>
      <c r="S73" s="1"/>
      <c r="T73" s="1">
        <f>SUM(OSRRefT22_9x_0)</f>
        <v>1000</v>
      </c>
      <c r="U73" s="1"/>
      <c r="V73" s="5">
        <f t="shared" si="42"/>
        <v>6.5560013636482839E-3</v>
      </c>
      <c r="W73" s="1"/>
      <c r="X73" s="1">
        <f t="shared" si="43"/>
        <v>-738.06999999999994</v>
      </c>
      <c r="Y73" s="1"/>
      <c r="Z73" s="5">
        <f t="shared" si="44"/>
        <v>-0.73806999999999989</v>
      </c>
    </row>
    <row r="74" spans="1:26" s="24" customFormat="1" hidden="1" outlineLevel="2" x14ac:dyDescent="0.25">
      <c r="A74" s="26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261.93</v>
      </c>
      <c r="Q74" s="2"/>
      <c r="R74" s="6">
        <f t="shared" si="41"/>
        <v>1.2290305143788078E-2</v>
      </c>
      <c r="S74" s="2"/>
      <c r="T74" s="7"/>
      <c r="U74" s="2"/>
      <c r="V74" s="6">
        <f t="shared" si="42"/>
        <v>0</v>
      </c>
      <c r="W74" s="2"/>
      <c r="X74" s="7">
        <f t="shared" si="43"/>
        <v>261.93</v>
      </c>
      <c r="Y74" s="2"/>
      <c r="Z74" s="6">
        <f t="shared" si="44"/>
        <v>0</v>
      </c>
    </row>
    <row r="75" spans="1:26" s="24" customFormat="1" hidden="1" outlineLevel="2" x14ac:dyDescent="0.25">
      <c r="A75" s="26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4.4355732978487473E-3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1000</v>
      </c>
      <c r="U75" s="2"/>
      <c r="V75" s="6">
        <f t="shared" si="42"/>
        <v>6.5560013636482839E-3</v>
      </c>
      <c r="W75" s="2"/>
      <c r="X75" s="7">
        <f t="shared" si="43"/>
        <v>-1000</v>
      </c>
      <c r="Y75" s="2"/>
      <c r="Z75" s="6">
        <f t="shared" si="44"/>
        <v>-1</v>
      </c>
    </row>
    <row r="76" spans="1:26" s="25" customFormat="1" outlineLevel="1" collapsed="1" x14ac:dyDescent="0.25">
      <c r="A76" s="27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1.2153470836105566E-2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3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2466</v>
      </c>
      <c r="U76" s="1"/>
      <c r="V76" s="5">
        <f t="shared" ref="V76:V78" si="50">IF(T$12=0,0,T76/T$12)</f>
        <v>1.6167099362756666E-2</v>
      </c>
      <c r="W76" s="1"/>
      <c r="X76" s="1">
        <f t="shared" ref="X76:X78" si="51">+P76-T76</f>
        <v>-2447.5</v>
      </c>
      <c r="Y76" s="1"/>
      <c r="Z76" s="5">
        <f t="shared" ref="Z76:Z78" si="52">IF(T76=0,0,X76/T76)</f>
        <v>-0.99249797242497972</v>
      </c>
    </row>
    <row r="77" spans="1:26" s="24" customFormat="1" hidden="1" outlineLevel="2" x14ac:dyDescent="0.25">
      <c r="A77" s="26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6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1.2153470836105566E-2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2466</v>
      </c>
      <c r="U78" s="2"/>
      <c r="V78" s="6">
        <f t="shared" si="50"/>
        <v>1.6167099362756666E-2</v>
      </c>
      <c r="W78" s="2"/>
      <c r="X78" s="7">
        <f t="shared" si="51"/>
        <v>-2623.5</v>
      </c>
      <c r="Y78" s="2"/>
      <c r="Z78" s="6">
        <f t="shared" si="52"/>
        <v>-1.0638686131386861</v>
      </c>
    </row>
    <row r="79" spans="1:26" s="25" customFormat="1" outlineLevel="1" collapsed="1" x14ac:dyDescent="0.25">
      <c r="A79" s="27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1.330671989354624E-2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3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2900</v>
      </c>
      <c r="U79" s="1"/>
      <c r="V79" s="5">
        <f t="shared" ref="V79:V83" si="58">IF(T$12=0,0,T79/T$12)</f>
        <v>1.9012403954580023E-2</v>
      </c>
      <c r="W79" s="1"/>
      <c r="X79" s="1">
        <f t="shared" ref="X79:X83" si="59">+P79-T79</f>
        <v>-1007.73</v>
      </c>
      <c r="Y79" s="1"/>
      <c r="Z79" s="5">
        <f t="shared" ref="Z79:Z83" si="60">IF(T79=0,0,X79/T79)</f>
        <v>-0.34749310344827589</v>
      </c>
    </row>
    <row r="80" spans="1:26" s="24" customFormat="1" hidden="1" outlineLevel="2" x14ac:dyDescent="0.25">
      <c r="A80" s="26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8.8711465956974947E-3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1800</v>
      </c>
      <c r="U80" s="2"/>
      <c r="V80" s="6">
        <f t="shared" si="58"/>
        <v>1.1800802454566911E-2</v>
      </c>
      <c r="W80" s="2"/>
      <c r="X80" s="7">
        <f t="shared" si="59"/>
        <v>-1355.7</v>
      </c>
      <c r="Y80" s="2"/>
      <c r="Z80" s="6">
        <f t="shared" si="60"/>
        <v>-0.75316666666666665</v>
      </c>
    </row>
    <row r="81" spans="1:26" s="24" customFormat="1" hidden="1" outlineLevel="2" x14ac:dyDescent="0.25">
      <c r="A81" s="26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4.4355732978487473E-3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900</v>
      </c>
      <c r="U82" s="2"/>
      <c r="V82" s="6">
        <f t="shared" si="58"/>
        <v>5.9004012272834555E-3</v>
      </c>
      <c r="W82" s="2"/>
      <c r="X82" s="7">
        <f t="shared" si="59"/>
        <v>322.73</v>
      </c>
      <c r="Y82" s="2"/>
      <c r="Z82" s="6">
        <f t="shared" si="60"/>
        <v>0.3585888888888889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1.3112002727296568E-3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4.4355732978487473E-3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3"/>
      <c r="P84" s="1">
        <f>SUM(OSRRefP22_12x_0)</f>
        <v>578.04999999999995</v>
      </c>
      <c r="Q84" s="1"/>
      <c r="R84" s="5">
        <f t="shared" ref="R84:R86" si="65">IF(P$12=0,0,P84/P$12)</f>
        <v>2.7123318781226657E-2</v>
      </c>
      <c r="S84" s="1"/>
      <c r="T84" s="1">
        <f>SUM(OSRRefT22_12x_0)</f>
        <v>1000</v>
      </c>
      <c r="U84" s="1"/>
      <c r="V84" s="5">
        <f t="shared" ref="V84:V86" si="66">IF(T$12=0,0,T84/T$12)</f>
        <v>6.5560013636482839E-3</v>
      </c>
      <c r="W84" s="1"/>
      <c r="X84" s="1">
        <f t="shared" ref="X84:X86" si="67">+P84-T84</f>
        <v>-421.95000000000005</v>
      </c>
      <c r="Y84" s="1"/>
      <c r="Z84" s="5">
        <f t="shared" ref="Z84:Z86" si="68">IF(T84=0,0,X84/T84)</f>
        <v>-0.42195000000000005</v>
      </c>
    </row>
    <row r="85" spans="1:26" s="24" customFormat="1" hidden="1" outlineLevel="2" x14ac:dyDescent="0.25">
      <c r="A85" s="26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4.4355732978487473E-3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1000</v>
      </c>
      <c r="U85" s="2"/>
      <c r="V85" s="6">
        <f t="shared" si="66"/>
        <v>6.5560013636482839E-3</v>
      </c>
      <c r="W85" s="2"/>
      <c r="X85" s="7">
        <f t="shared" si="67"/>
        <v>-1000</v>
      </c>
      <c r="Y85" s="2"/>
      <c r="Z85" s="6">
        <f t="shared" si="68"/>
        <v>-1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578.04999999999995</v>
      </c>
      <c r="Q86" s="2"/>
      <c r="R86" s="6">
        <f t="shared" si="65"/>
        <v>2.7123318781226657E-2</v>
      </c>
      <c r="S86" s="2"/>
      <c r="T86" s="7"/>
      <c r="U86" s="2"/>
      <c r="V86" s="6">
        <f t="shared" si="66"/>
        <v>0</v>
      </c>
      <c r="W86" s="2"/>
      <c r="X86" s="7">
        <f t="shared" si="67"/>
        <v>578.04999999999995</v>
      </c>
      <c r="Y86" s="2"/>
      <c r="Z86" s="6">
        <f t="shared" si="68"/>
        <v>0</v>
      </c>
    </row>
    <row r="87" spans="1:26" s="25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3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7.8672016363779405E-4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7.8672016363779405E-4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61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277</v>
      </c>
      <c r="C92" s="28"/>
      <c r="D92" s="21">
        <f>+D35-D37+D90</f>
        <v>-72.489999999999995</v>
      </c>
      <c r="E92" s="14"/>
      <c r="F92" s="20">
        <f>IF(D$12=0,0,D92/D$12)</f>
        <v>0</v>
      </c>
      <c r="G92" s="14"/>
      <c r="H92" s="21">
        <f>+H35-H37+H90</f>
        <v>-10128.414349999999</v>
      </c>
      <c r="I92" s="14"/>
      <c r="J92" s="20">
        <f>IF(H$12=0,0,H92/H$12)</f>
        <v>-0.44925324240408071</v>
      </c>
      <c r="K92" s="16"/>
      <c r="L92" s="21">
        <f>+D92-H92</f>
        <v>10055.924349999999</v>
      </c>
      <c r="M92" s="16"/>
      <c r="N92" s="20">
        <f>IF(H92=0,0,L92/H92)</f>
        <v>-0.9928429073401801</v>
      </c>
      <c r="O92" s="29"/>
      <c r="P92" s="21">
        <f>+P35-P37+P90</f>
        <v>-5181.929999999993</v>
      </c>
      <c r="Q92" s="14"/>
      <c r="R92" s="20">
        <f>IF(P$12=0,0,P92/P$12)</f>
        <v>-0.24314702757893206</v>
      </c>
      <c r="S92" s="14"/>
      <c r="T92" s="21">
        <f>+T35-T37+T90</f>
        <v>-59088.161713999987</v>
      </c>
      <c r="U92" s="14"/>
      <c r="V92" s="20">
        <f>IF(T$12=0,0,T92/T$12)</f>
        <v>-0.38738206877245424</v>
      </c>
      <c r="W92" s="16"/>
      <c r="X92" s="21">
        <f>+P92-T92</f>
        <v>53906.231713999994</v>
      </c>
      <c r="Y92" s="16"/>
      <c r="Z92" s="20">
        <f>IF(T92=0,0,X92/T92)</f>
        <v>-0.91230172255008202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66.33</v>
      </c>
      <c r="E94" s="4"/>
      <c r="F94" s="12">
        <f>IF(D$12=0,0,D94/D$12)</f>
        <v>0</v>
      </c>
      <c r="G94" s="4"/>
      <c r="H94" s="4">
        <v>2142</v>
      </c>
      <c r="I94" s="4"/>
      <c r="J94" s="12">
        <f>IF(H$12=0,0,H94/H$12)</f>
        <v>9.5009980039920158E-2</v>
      </c>
      <c r="K94" s="4"/>
      <c r="L94" s="4">
        <f>+D94-H94</f>
        <v>-2075.67</v>
      </c>
      <c r="M94" s="4"/>
      <c r="N94" s="12">
        <f>IF(H94=0,0,L94/H94)</f>
        <v>-0.96903361344537819</v>
      </c>
      <c r="O94" s="10"/>
      <c r="P94" s="4">
        <v>4458.54</v>
      </c>
      <c r="Q94" s="4"/>
      <c r="R94" s="12">
        <f>IF(P$12=0,0,P94/P$12)</f>
        <v>0.20920405106625778</v>
      </c>
      <c r="S94" s="4"/>
      <c r="T94" s="4">
        <v>29115</v>
      </c>
      <c r="U94" s="4"/>
      <c r="V94" s="12">
        <f>IF(T$12=0,0,T94/T$12)</f>
        <v>0.19087797970261977</v>
      </c>
      <c r="W94" s="4"/>
      <c r="X94" s="4">
        <f>+P94-T94</f>
        <v>-24656.46</v>
      </c>
      <c r="Y94" s="4"/>
      <c r="Z94" s="12">
        <f>IF(T94=0,0,X94/T94)</f>
        <v>-0.84686450283359094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126</v>
      </c>
      <c r="C96" s="28"/>
      <c r="D96" s="31">
        <f>+D92-D94</f>
        <v>-138.82</v>
      </c>
      <c r="E96" s="14"/>
      <c r="F96" s="33">
        <f>IF(D$12=0,0,D96/D$12)</f>
        <v>0</v>
      </c>
      <c r="G96" s="14"/>
      <c r="H96" s="31">
        <f>+H92-H94</f>
        <v>-12270.414349999999</v>
      </c>
      <c r="I96" s="14"/>
      <c r="J96" s="33">
        <f>IF(H$12=0,0,H96/H$12)</f>
        <v>-0.54426322244400083</v>
      </c>
      <c r="K96" s="16"/>
      <c r="L96" s="31">
        <f>D96-H96</f>
        <v>12131.594349999999</v>
      </c>
      <c r="M96" s="16"/>
      <c r="N96" s="33">
        <f>IF(H96=0,0,L96/H96)</f>
        <v>-0.98868660861481017</v>
      </c>
      <c r="O96" s="29"/>
      <c r="P96" s="31">
        <f>+P92-P94</f>
        <v>-9640.4699999999939</v>
      </c>
      <c r="Q96" s="14"/>
      <c r="R96" s="33">
        <f>IF(P$12=0,0,P96/P$12)</f>
        <v>-0.45235107864518986</v>
      </c>
      <c r="S96" s="14"/>
      <c r="T96" s="31">
        <f>+T92-T94</f>
        <v>-88203.161713999987</v>
      </c>
      <c r="U96" s="14"/>
      <c r="V96" s="33">
        <f>IF(T$12=0,0,T96/T$12)</f>
        <v>-0.57826004847507395</v>
      </c>
      <c r="W96" s="16"/>
      <c r="X96" s="31">
        <f>P96-T96</f>
        <v>78562.691713999986</v>
      </c>
      <c r="Y96" s="16"/>
      <c r="Z96" s="33">
        <f>IF(T96=0,0,X96/T96)</f>
        <v>-0.89070153708027655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294</v>
      </c>
      <c r="C99" s="28"/>
      <c r="D99" s="34">
        <f>SUM(D96:D98)</f>
        <v>-138.82</v>
      </c>
      <c r="E99" s="14"/>
      <c r="F99" s="35">
        <f>IF(D$12=0,0,D99/D$12)</f>
        <v>0</v>
      </c>
      <c r="G99" s="14"/>
      <c r="H99" s="34">
        <f>SUM(H96:H98)</f>
        <v>-12270.414349999999</v>
      </c>
      <c r="I99" s="14"/>
      <c r="J99" s="35">
        <f>IF(H$12=0,0,H99/H$12)</f>
        <v>-0.54426322244400083</v>
      </c>
      <c r="K99" s="16"/>
      <c r="L99" s="34">
        <f>+D99-H99</f>
        <v>12131.594349999999</v>
      </c>
      <c r="M99" s="16"/>
      <c r="N99" s="35">
        <f>IF(H99=0,0,L99/H99)</f>
        <v>-0.98868660861481017</v>
      </c>
      <c r="O99" s="29"/>
      <c r="P99" s="34">
        <f>SUM(P96:P98)</f>
        <v>-9640.4699999999939</v>
      </c>
      <c r="Q99" s="14"/>
      <c r="R99" s="35">
        <f>IF(P$12=0,0,P99/P$12)</f>
        <v>-0.45235107864518986</v>
      </c>
      <c r="S99" s="14"/>
      <c r="T99" s="34">
        <f>SUM(T96:T98)</f>
        <v>-88203.161713999987</v>
      </c>
      <c r="U99" s="14"/>
      <c r="V99" s="35">
        <f>IF(T$12=0,0,T99/T$12)</f>
        <v>-0.57826004847507395</v>
      </c>
      <c r="W99" s="16"/>
      <c r="X99" s="34">
        <f>+P99-T99</f>
        <v>78562.691713999986</v>
      </c>
      <c r="Y99" s="16"/>
      <c r="Z99" s="35">
        <f>IF(T99=0,0,X99/T99)</f>
        <v>-0.89070153708027655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2">
        <v>44330.0058283912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5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25651.129999999997</v>
      </c>
      <c r="E12" s="4"/>
      <c r="F12" s="12"/>
      <c r="G12" s="4"/>
      <c r="H12" s="4">
        <f>SUM(OSRRefH13x_0)</f>
        <v>19625</v>
      </c>
      <c r="I12" s="4"/>
      <c r="J12" s="12"/>
      <c r="K12" s="4"/>
      <c r="L12" s="4">
        <f t="shared" ref="L12:L35" si="0">+D12-H12</f>
        <v>6026.1299999999974</v>
      </c>
      <c r="M12" s="4"/>
      <c r="N12" s="12">
        <f t="shared" ref="N12:N35" si="1">IF(H12=0,0,L12/H12)</f>
        <v>0.30706394904458584</v>
      </c>
      <c r="O12" s="10"/>
      <c r="P12" s="4">
        <f>SUM(OSRRefP13x_0)</f>
        <v>2679636.5200000005</v>
      </c>
      <c r="Q12" s="4"/>
      <c r="R12" s="12"/>
      <c r="S12" s="4"/>
      <c r="T12" s="4">
        <f>SUM(OSRRefT13x_0)</f>
        <v>4394854</v>
      </c>
      <c r="U12" s="4"/>
      <c r="V12" s="12"/>
      <c r="W12" s="4"/>
      <c r="X12" s="4">
        <f t="shared" ref="X12:X35" si="2">+P12-T12</f>
        <v>-1715217.4799999995</v>
      </c>
      <c r="Y12" s="4"/>
      <c r="Z12" s="12">
        <f t="shared" ref="Z12:Z35" si="3">IF(T12=0,0,X12/T12)</f>
        <v>-0.39027860311173013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-219.91</f>
        <v>-219.91</v>
      </c>
      <c r="E13" s="2"/>
      <c r="F13" s="19"/>
      <c r="G13" s="2"/>
      <c r="H13" s="2">
        <v>19625</v>
      </c>
      <c r="I13" s="2"/>
      <c r="J13" s="19"/>
      <c r="K13" s="2"/>
      <c r="L13" s="2">
        <f t="shared" si="0"/>
        <v>-19844.91</v>
      </c>
      <c r="M13" s="2"/>
      <c r="N13" s="19">
        <f t="shared" si="1"/>
        <v>-1.0112056050955414</v>
      </c>
      <c r="O13" s="11"/>
      <c r="P13" s="2">
        <f>-8578.72</f>
        <v>-8578.7199999999993</v>
      </c>
      <c r="Q13" s="2"/>
      <c r="R13" s="19"/>
      <c r="S13" s="2"/>
      <c r="T13" s="2">
        <v>4394854</v>
      </c>
      <c r="U13" s="2"/>
      <c r="V13" s="19"/>
      <c r="W13" s="2"/>
      <c r="X13" s="2">
        <f t="shared" si="2"/>
        <v>-4403432.72</v>
      </c>
      <c r="Y13" s="2"/>
      <c r="Z13" s="19">
        <f t="shared" si="3"/>
        <v>-1.0019519920343201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--31347.12</f>
        <v>31347.119999999999</v>
      </c>
      <c r="E14" s="2"/>
      <c r="F14" s="19"/>
      <c r="G14" s="2"/>
      <c r="H14" s="2"/>
      <c r="I14" s="2"/>
      <c r="J14" s="19"/>
      <c r="K14" s="2"/>
      <c r="L14" s="2">
        <f t="shared" si="0"/>
        <v>31347.119999999999</v>
      </c>
      <c r="M14" s="2"/>
      <c r="N14" s="19">
        <f t="shared" si="1"/>
        <v>0</v>
      </c>
      <c r="O14" s="11"/>
      <c r="P14" s="2">
        <f>--1263810.36</f>
        <v>1263810.3600000001</v>
      </c>
      <c r="Q14" s="2"/>
      <c r="R14" s="19"/>
      <c r="S14" s="2"/>
      <c r="T14" s="2"/>
      <c r="U14" s="2"/>
      <c r="V14" s="19"/>
      <c r="W14" s="2"/>
      <c r="X14" s="2">
        <f t="shared" si="2"/>
        <v>1263810.3600000001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--1971.3</f>
        <v>1971.3</v>
      </c>
      <c r="E15" s="2"/>
      <c r="F15" s="19"/>
      <c r="G15" s="2"/>
      <c r="H15" s="2"/>
      <c r="I15" s="2"/>
      <c r="J15" s="19"/>
      <c r="K15" s="2"/>
      <c r="L15" s="2">
        <f t="shared" si="0"/>
        <v>1971.3</v>
      </c>
      <c r="M15" s="2"/>
      <c r="N15" s="19">
        <f t="shared" si="1"/>
        <v>0</v>
      </c>
      <c r="O15" s="11"/>
      <c r="P15" s="2">
        <f>--578768.63</f>
        <v>578768.63</v>
      </c>
      <c r="Q15" s="2"/>
      <c r="R15" s="19"/>
      <c r="S15" s="2"/>
      <c r="T15" s="2"/>
      <c r="U15" s="2"/>
      <c r="V15" s="19"/>
      <c r="W15" s="2"/>
      <c r="X15" s="2">
        <f t="shared" si="2"/>
        <v>578768.63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--20</f>
        <v>20</v>
      </c>
      <c r="E16" s="2"/>
      <c r="F16" s="19"/>
      <c r="G16" s="2"/>
      <c r="H16" s="2"/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1"/>
      <c r="P16" s="2">
        <f>--17997.88</f>
        <v>17997.88</v>
      </c>
      <c r="Q16" s="2"/>
      <c r="R16" s="19"/>
      <c r="S16" s="2"/>
      <c r="T16" s="2"/>
      <c r="U16" s="2"/>
      <c r="V16" s="19"/>
      <c r="W16" s="2"/>
      <c r="X16" s="2">
        <f t="shared" si="2"/>
        <v>17997.88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--61.81</f>
        <v>61.81</v>
      </c>
      <c r="E18" s="2"/>
      <c r="F18" s="19"/>
      <c r="G18" s="2"/>
      <c r="H18" s="2"/>
      <c r="I18" s="2"/>
      <c r="J18" s="19"/>
      <c r="K18" s="2"/>
      <c r="L18" s="2">
        <f t="shared" si="0"/>
        <v>61.81</v>
      </c>
      <c r="M18" s="2"/>
      <c r="N18" s="19">
        <f t="shared" si="1"/>
        <v>0</v>
      </c>
      <c r="O18" s="11"/>
      <c r="P18" s="2">
        <f>--1263.83</f>
        <v>1263.83</v>
      </c>
      <c r="Q18" s="2"/>
      <c r="R18" s="19"/>
      <c r="S18" s="2"/>
      <c r="T18" s="2"/>
      <c r="U18" s="2"/>
      <c r="V18" s="19"/>
      <c r="W18" s="2"/>
      <c r="X18" s="2">
        <f t="shared" si="2"/>
        <v>1263.83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--36.85</f>
        <v>36.85</v>
      </c>
      <c r="E19" s="2"/>
      <c r="F19" s="19"/>
      <c r="G19" s="2"/>
      <c r="H19" s="2"/>
      <c r="I19" s="2"/>
      <c r="J19" s="19"/>
      <c r="K19" s="2"/>
      <c r="L19" s="2">
        <f t="shared" si="0"/>
        <v>36.85</v>
      </c>
      <c r="M19" s="2"/>
      <c r="N19" s="19">
        <f t="shared" si="1"/>
        <v>0</v>
      </c>
      <c r="O19" s="11"/>
      <c r="P19" s="2">
        <f>--484.55</f>
        <v>484.55</v>
      </c>
      <c r="Q19" s="2"/>
      <c r="R19" s="19"/>
      <c r="S19" s="2"/>
      <c r="T19" s="2"/>
      <c r="U19" s="2"/>
      <c r="V19" s="19"/>
      <c r="W19" s="2"/>
      <c r="X19" s="2">
        <f t="shared" si="2"/>
        <v>484.55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--72.96</f>
        <v>72.959999999999994</v>
      </c>
      <c r="E20" s="2"/>
      <c r="F20" s="19"/>
      <c r="G20" s="2"/>
      <c r="H20" s="2"/>
      <c r="I20" s="2"/>
      <c r="J20" s="19"/>
      <c r="K20" s="2"/>
      <c r="L20" s="2">
        <f t="shared" si="0"/>
        <v>72.959999999999994</v>
      </c>
      <c r="M20" s="2"/>
      <c r="N20" s="19">
        <f t="shared" si="1"/>
        <v>0</v>
      </c>
      <c r="O20" s="11"/>
      <c r="P20" s="2">
        <f>--473.1</f>
        <v>473.1</v>
      </c>
      <c r="Q20" s="2"/>
      <c r="R20" s="19"/>
      <c r="S20" s="2"/>
      <c r="T20" s="2"/>
      <c r="U20" s="2"/>
      <c r="V20" s="19"/>
      <c r="W20" s="2"/>
      <c r="X20" s="2">
        <f t="shared" si="2"/>
        <v>473.1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-12385.33</f>
        <v>-12385.33</v>
      </c>
      <c r="E21" s="2"/>
      <c r="F21" s="19"/>
      <c r="G21" s="2"/>
      <c r="H21" s="2"/>
      <c r="I21" s="2"/>
      <c r="J21" s="19"/>
      <c r="K21" s="2"/>
      <c r="L21" s="2">
        <f t="shared" si="0"/>
        <v>-12385.33</v>
      </c>
      <c r="M21" s="2"/>
      <c r="N21" s="19">
        <f t="shared" si="1"/>
        <v>0</v>
      </c>
      <c r="O21" s="11"/>
      <c r="P21" s="2">
        <f>--273838.77</f>
        <v>273838.77</v>
      </c>
      <c r="Q21" s="2"/>
      <c r="R21" s="19"/>
      <c r="S21" s="2"/>
      <c r="T21" s="2"/>
      <c r="U21" s="2"/>
      <c r="V21" s="19"/>
      <c r="W21" s="2"/>
      <c r="X21" s="2">
        <f t="shared" si="2"/>
        <v>273838.77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--741.03</f>
        <v>741.03</v>
      </c>
      <c r="E22" s="2"/>
      <c r="F22" s="19"/>
      <c r="G22" s="2"/>
      <c r="H22" s="2"/>
      <c r="I22" s="2"/>
      <c r="J22" s="19"/>
      <c r="K22" s="2"/>
      <c r="L22" s="2">
        <f t="shared" si="0"/>
        <v>741.03</v>
      </c>
      <c r="M22" s="2"/>
      <c r="N22" s="19">
        <f t="shared" si="1"/>
        <v>0</v>
      </c>
      <c r="O22" s="11"/>
      <c r="P22" s="2">
        <f>--112796.74</f>
        <v>112796.74</v>
      </c>
      <c r="Q22" s="2"/>
      <c r="R22" s="19"/>
      <c r="S22" s="2"/>
      <c r="T22" s="2"/>
      <c r="U22" s="2"/>
      <c r="V22" s="19"/>
      <c r="W22" s="2"/>
      <c r="X22" s="2">
        <f t="shared" si="2"/>
        <v>112796.74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--743.99</f>
        <v>743.99</v>
      </c>
      <c r="E23" s="2"/>
      <c r="F23" s="19"/>
      <c r="G23" s="2"/>
      <c r="H23" s="2"/>
      <c r="I23" s="2"/>
      <c r="J23" s="19"/>
      <c r="K23" s="2"/>
      <c r="L23" s="2">
        <f t="shared" si="0"/>
        <v>743.99</v>
      </c>
      <c r="M23" s="2"/>
      <c r="N23" s="19">
        <f t="shared" si="1"/>
        <v>0</v>
      </c>
      <c r="O23" s="11"/>
      <c r="P23" s="2">
        <f>--48703.42</f>
        <v>48703.42</v>
      </c>
      <c r="Q23" s="2"/>
      <c r="R23" s="19"/>
      <c r="S23" s="2"/>
      <c r="T23" s="2"/>
      <c r="U23" s="2"/>
      <c r="V23" s="19"/>
      <c r="W23" s="2"/>
      <c r="X23" s="2">
        <f t="shared" si="2"/>
        <v>48703.42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--1138.95</f>
        <v>1138.95</v>
      </c>
      <c r="Q24" s="2"/>
      <c r="R24" s="19"/>
      <c r="S24" s="2"/>
      <c r="T24" s="2"/>
      <c r="U24" s="2"/>
      <c r="V24" s="19"/>
      <c r="W24" s="2"/>
      <c r="X24" s="2">
        <f t="shared" si="2"/>
        <v>1138.95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--3431.99</f>
        <v>3431.99</v>
      </c>
      <c r="E25" s="2"/>
      <c r="F25" s="19"/>
      <c r="G25" s="2"/>
      <c r="H25" s="2"/>
      <c r="I25" s="2"/>
      <c r="J25" s="19"/>
      <c r="K25" s="2"/>
      <c r="L25" s="2">
        <f t="shared" si="0"/>
        <v>3431.99</v>
      </c>
      <c r="M25" s="2"/>
      <c r="N25" s="19">
        <f t="shared" si="1"/>
        <v>0</v>
      </c>
      <c r="O25" s="11"/>
      <c r="P25" s="2">
        <f>--480403.17</f>
        <v>480403.17</v>
      </c>
      <c r="Q25" s="2"/>
      <c r="R25" s="19"/>
      <c r="S25" s="2"/>
      <c r="T25" s="2"/>
      <c r="U25" s="2"/>
      <c r="V25" s="19"/>
      <c r="W25" s="2"/>
      <c r="X25" s="2">
        <f t="shared" si="2"/>
        <v>480403.17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--738</f>
        <v>738</v>
      </c>
      <c r="E26" s="2"/>
      <c r="F26" s="19"/>
      <c r="G26" s="2"/>
      <c r="H26" s="2"/>
      <c r="I26" s="2"/>
      <c r="J26" s="19"/>
      <c r="K26" s="2"/>
      <c r="L26" s="2">
        <f t="shared" si="0"/>
        <v>738</v>
      </c>
      <c r="M26" s="2"/>
      <c r="N26" s="19">
        <f t="shared" si="1"/>
        <v>0</v>
      </c>
      <c r="O26" s="11"/>
      <c r="P26" s="2">
        <f>--12127.25</f>
        <v>12127.25</v>
      </c>
      <c r="Q26" s="2"/>
      <c r="R26" s="19"/>
      <c r="S26" s="2"/>
      <c r="T26" s="2"/>
      <c r="U26" s="2"/>
      <c r="V26" s="19"/>
      <c r="W26" s="2"/>
      <c r="X26" s="2">
        <f t="shared" si="2"/>
        <v>12127.25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--771.73</f>
        <v>771.73</v>
      </c>
      <c r="Q27" s="2"/>
      <c r="R27" s="19"/>
      <c r="S27" s="2"/>
      <c r="T27" s="2"/>
      <c r="U27" s="2"/>
      <c r="V27" s="19"/>
      <c r="W27" s="2"/>
      <c r="X27" s="2">
        <f t="shared" si="2"/>
        <v>771.73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-376.85</f>
        <v>-376.85</v>
      </c>
      <c r="E28" s="2"/>
      <c r="F28" s="19"/>
      <c r="G28" s="2"/>
      <c r="H28" s="2"/>
      <c r="I28" s="2"/>
      <c r="J28" s="19"/>
      <c r="K28" s="2"/>
      <c r="L28" s="2">
        <f t="shared" si="0"/>
        <v>-376.85</v>
      </c>
      <c r="M28" s="2"/>
      <c r="N28" s="19">
        <f t="shared" si="1"/>
        <v>0</v>
      </c>
      <c r="O28" s="11"/>
      <c r="P28" s="2">
        <f>-51638.02</f>
        <v>-51638.02</v>
      </c>
      <c r="Q28" s="2"/>
      <c r="R28" s="19"/>
      <c r="S28" s="2"/>
      <c r="T28" s="2"/>
      <c r="U28" s="2"/>
      <c r="V28" s="19"/>
      <c r="W28" s="2"/>
      <c r="X28" s="2">
        <f t="shared" si="2"/>
        <v>-51638.02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-206.95</f>
        <v>-206.95</v>
      </c>
      <c r="E29" s="2"/>
      <c r="F29" s="19"/>
      <c r="G29" s="2"/>
      <c r="H29" s="2"/>
      <c r="I29" s="2"/>
      <c r="J29" s="19"/>
      <c r="K29" s="2"/>
      <c r="L29" s="2">
        <f t="shared" si="0"/>
        <v>-206.95</v>
      </c>
      <c r="M29" s="2"/>
      <c r="N29" s="19">
        <f t="shared" si="1"/>
        <v>0</v>
      </c>
      <c r="O29" s="11"/>
      <c r="P29" s="2">
        <f>-20096.26</f>
        <v>-20096.259999999998</v>
      </c>
      <c r="Q29" s="2"/>
      <c r="R29" s="19"/>
      <c r="S29" s="2"/>
      <c r="T29" s="2"/>
      <c r="U29" s="2"/>
      <c r="V29" s="19"/>
      <c r="W29" s="2"/>
      <c r="X29" s="2">
        <f t="shared" si="2"/>
        <v>-20096.259999999998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 t="shared" ref="D30:D32" si="4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-1763.1</f>
        <v>-1763.1</v>
      </c>
      <c r="Q30" s="2"/>
      <c r="R30" s="19"/>
      <c r="S30" s="2"/>
      <c r="T30" s="2"/>
      <c r="U30" s="2"/>
      <c r="V30" s="19"/>
      <c r="W30" s="2"/>
      <c r="X30" s="2">
        <f t="shared" si="2"/>
        <v>-1763.1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"4213", " - ", "NON-TAXABLE SALES-TRADE BOOKS")</f>
        <v xml:space="preserve">          4213 - NON-TAXABLE SALES-TRADE BOOKS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-69.93</f>
        <v>-69.930000000000007</v>
      </c>
      <c r="Q31" s="2"/>
      <c r="R31" s="19"/>
      <c r="S31" s="2"/>
      <c r="T31" s="2"/>
      <c r="U31" s="2"/>
      <c r="V31" s="19"/>
      <c r="W31" s="2"/>
      <c r="X31" s="2">
        <f t="shared" si="2"/>
        <v>-69.930000000000007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"4218", " - ", "SALES RETURN TAXABLE-STUDY GUI")</f>
        <v xml:space="preserve">          4218 - SALES RETURN TAXABLE-STUDY GUI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-5.21</f>
        <v>-5.21</v>
      </c>
      <c r="Q32" s="2"/>
      <c r="R32" s="19"/>
      <c r="S32" s="2"/>
      <c r="T32" s="2"/>
      <c r="U32" s="2"/>
      <c r="V32" s="19"/>
      <c r="W32" s="2"/>
      <c r="X32" s="2">
        <f t="shared" si="2"/>
        <v>-5.21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>-225.91</f>
        <v>-225.91</v>
      </c>
      <c r="E33" s="2"/>
      <c r="F33" s="19"/>
      <c r="G33" s="2"/>
      <c r="H33" s="2"/>
      <c r="I33" s="2"/>
      <c r="J33" s="19"/>
      <c r="K33" s="2"/>
      <c r="L33" s="2">
        <f t="shared" si="0"/>
        <v>-225.91</v>
      </c>
      <c r="M33" s="2"/>
      <c r="N33" s="19">
        <f t="shared" si="1"/>
        <v>0</v>
      </c>
      <c r="O33" s="11"/>
      <c r="P33" s="2">
        <f>-3463.2</f>
        <v>-3463.2</v>
      </c>
      <c r="Q33" s="2"/>
      <c r="R33" s="19"/>
      <c r="S33" s="2"/>
      <c r="T33" s="2"/>
      <c r="U33" s="2"/>
      <c r="V33" s="19"/>
      <c r="W33" s="2"/>
      <c r="X33" s="2">
        <f t="shared" si="2"/>
        <v>-3463.2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>-98.97</f>
        <v>-98.97</v>
      </c>
      <c r="E34" s="2"/>
      <c r="F34" s="19"/>
      <c r="G34" s="2"/>
      <c r="H34" s="2"/>
      <c r="I34" s="2"/>
      <c r="J34" s="19"/>
      <c r="K34" s="2"/>
      <c r="L34" s="2">
        <f t="shared" si="0"/>
        <v>-98.97</v>
      </c>
      <c r="M34" s="2"/>
      <c r="N34" s="19">
        <f t="shared" si="1"/>
        <v>0</v>
      </c>
      <c r="O34" s="11"/>
      <c r="P34" s="2">
        <f>-2443.32</f>
        <v>-2443.3200000000002</v>
      </c>
      <c r="Q34" s="2"/>
      <c r="R34" s="19"/>
      <c r="S34" s="2"/>
      <c r="T34" s="2"/>
      <c r="U34" s="2"/>
      <c r="V34" s="19"/>
      <c r="W34" s="2"/>
      <c r="X34" s="2">
        <f t="shared" si="2"/>
        <v>-2443.3200000000002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-27543.76</f>
        <v>-27543.759999999998</v>
      </c>
      <c r="Q35" s="2"/>
      <c r="R35" s="19"/>
      <c r="S35" s="2"/>
      <c r="T35" s="2"/>
      <c r="U35" s="2"/>
      <c r="V35" s="19"/>
      <c r="W35" s="2"/>
      <c r="X35" s="2">
        <f t="shared" si="2"/>
        <v>-27543.759999999998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9" t="s">
        <v>257</v>
      </c>
      <c r="C37" s="10"/>
      <c r="D37" s="4">
        <f>SUM(OSRRefD16x_0)</f>
        <v>31268.500000000022</v>
      </c>
      <c r="E37" s="4"/>
      <c r="F37" s="12">
        <f t="shared" ref="F37:F53" si="5">IF(D$12=0,0,D37/D$12)</f>
        <v>1.2189911321645488</v>
      </c>
      <c r="G37" s="4"/>
      <c r="H37" s="4">
        <f>SUM(OSRRefH16x_0)</f>
        <v>14316</v>
      </c>
      <c r="I37" s="4"/>
      <c r="J37" s="12">
        <f t="shared" ref="J37:J53" si="6">IF(H$12=0,0,H37/H$12)</f>
        <v>0.72947770700636938</v>
      </c>
      <c r="K37" s="4"/>
      <c r="L37" s="4">
        <f t="shared" ref="L37:L53" si="7">+D37-H37</f>
        <v>16952.500000000022</v>
      </c>
      <c r="M37" s="4"/>
      <c r="N37" s="12">
        <f t="shared" ref="N37:N53" si="8">IF(H37=0,0,L37/H37)</f>
        <v>1.1841645711092499</v>
      </c>
      <c r="O37" s="10"/>
      <c r="P37" s="4">
        <f>SUM(OSRRefP16x_0)</f>
        <v>1904519.22</v>
      </c>
      <c r="Q37" s="4"/>
      <c r="R37" s="12">
        <f t="shared" ref="R37:R53" si="9">IF(P$12=0,0,P37/P$12)</f>
        <v>0.71073789515303354</v>
      </c>
      <c r="S37" s="4"/>
      <c r="T37" s="4">
        <f>SUM(OSRRefT16x_0)</f>
        <v>3196370</v>
      </c>
      <c r="U37" s="4"/>
      <c r="V37" s="12">
        <f t="shared" ref="V37:V53" si="10">IF(T$12=0,0,T37/T$12)</f>
        <v>0.72729833573538505</v>
      </c>
      <c r="W37" s="4"/>
      <c r="X37" s="4">
        <f t="shared" ref="X37:X53" si="11">+P37-T37</f>
        <v>-1291850.78</v>
      </c>
      <c r="Y37" s="4"/>
      <c r="Z37" s="12">
        <f t="shared" ref="Z37:Z53" si="12">IF(T37=0,0,X37/T37)</f>
        <v>-0.40416183983706516</v>
      </c>
    </row>
    <row r="38" spans="1:26" s="24" customFormat="1" hidden="1" outlineLevel="1" x14ac:dyDescent="0.25">
      <c r="A38" s="44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19">
        <f t="shared" si="5"/>
        <v>0</v>
      </c>
      <c r="G38" s="2"/>
      <c r="H38" s="2">
        <v>14316</v>
      </c>
      <c r="I38" s="2"/>
      <c r="J38" s="19">
        <f t="shared" si="6"/>
        <v>0.72947770700636938</v>
      </c>
      <c r="K38" s="2"/>
      <c r="L38" s="2">
        <f t="shared" si="7"/>
        <v>-14316</v>
      </c>
      <c r="M38" s="2"/>
      <c r="N38" s="19">
        <f t="shared" si="8"/>
        <v>-1</v>
      </c>
      <c r="O38" s="11"/>
      <c r="P38" s="2">
        <v>0</v>
      </c>
      <c r="Q38" s="2"/>
      <c r="R38" s="19">
        <f t="shared" si="9"/>
        <v>0</v>
      </c>
      <c r="S38" s="2"/>
      <c r="T38" s="2">
        <v>3196370</v>
      </c>
      <c r="U38" s="2"/>
      <c r="V38" s="19">
        <f t="shared" si="10"/>
        <v>0.72729833573538505</v>
      </c>
      <c r="W38" s="2"/>
      <c r="X38" s="2">
        <f t="shared" si="11"/>
        <v>-3196370</v>
      </c>
      <c r="Y38" s="2"/>
      <c r="Z38" s="19">
        <f t="shared" si="12"/>
        <v>-1</v>
      </c>
    </row>
    <row r="39" spans="1:26" s="24" customFormat="1" hidden="1" outlineLevel="1" x14ac:dyDescent="0.25">
      <c r="A39" s="44"/>
      <c r="B39" s="11" t="str">
        <f>CONCATENATE("          ", "5001", " - ", "PURCHASES @ COST-NEW TEXT")</f>
        <v xml:space="preserve">          5001 - PURCHASES @ COST-NEW TEXT</v>
      </c>
      <c r="C39" s="11"/>
      <c r="D39" s="2">
        <v>-28969.93</v>
      </c>
      <c r="E39" s="2"/>
      <c r="F39" s="19">
        <f t="shared" si="5"/>
        <v>-1.129382214350791</v>
      </c>
      <c r="G39" s="2"/>
      <c r="H39" s="2"/>
      <c r="I39" s="2"/>
      <c r="J39" s="19">
        <f t="shared" si="6"/>
        <v>0</v>
      </c>
      <c r="K39" s="2"/>
      <c r="L39" s="2">
        <f t="shared" si="7"/>
        <v>-28969.93</v>
      </c>
      <c r="M39" s="2"/>
      <c r="N39" s="19">
        <f t="shared" si="8"/>
        <v>0</v>
      </c>
      <c r="O39" s="11"/>
      <c r="P39" s="2">
        <v>1006546.47</v>
      </c>
      <c r="Q39" s="2"/>
      <c r="R39" s="19">
        <f t="shared" si="9"/>
        <v>0.37562798629121524</v>
      </c>
      <c r="S39" s="2"/>
      <c r="T39" s="2"/>
      <c r="U39" s="2"/>
      <c r="V39" s="19">
        <f t="shared" si="10"/>
        <v>0</v>
      </c>
      <c r="W39" s="2"/>
      <c r="X39" s="2">
        <f t="shared" si="11"/>
        <v>1006546.47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"5002", " - ", "PURCHASES @ COST-USED TEXT")</f>
        <v xml:space="preserve">          5002 - PURCHASES @ COST-USED TEXT</v>
      </c>
      <c r="C40" s="11"/>
      <c r="D40" s="2">
        <v>-122091.65</v>
      </c>
      <c r="E40" s="2"/>
      <c r="F40" s="19">
        <f t="shared" si="5"/>
        <v>-4.7596986955350511</v>
      </c>
      <c r="G40" s="2"/>
      <c r="H40" s="2"/>
      <c r="I40" s="2"/>
      <c r="J40" s="19">
        <f t="shared" si="6"/>
        <v>0</v>
      </c>
      <c r="K40" s="2"/>
      <c r="L40" s="2">
        <f t="shared" si="7"/>
        <v>-122091.65</v>
      </c>
      <c r="M40" s="2"/>
      <c r="N40" s="19">
        <f t="shared" si="8"/>
        <v>0</v>
      </c>
      <c r="O40" s="11"/>
      <c r="P40" s="2">
        <v>274961.02</v>
      </c>
      <c r="Q40" s="2"/>
      <c r="R40" s="19">
        <f t="shared" si="9"/>
        <v>0.10261131237306766</v>
      </c>
      <c r="S40" s="2"/>
      <c r="T40" s="2"/>
      <c r="U40" s="2"/>
      <c r="V40" s="19">
        <f t="shared" si="10"/>
        <v>0</v>
      </c>
      <c r="W40" s="2"/>
      <c r="X40" s="2">
        <f t="shared" si="11"/>
        <v>274961.02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"5003", " - ", "PURCHASES @ COST-RENTAL TEXT")</f>
        <v xml:space="preserve">          5003 - PURCHASES @ COST-RENTAL TEXT</v>
      </c>
      <c r="C41" s="11"/>
      <c r="D41" s="2"/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0</v>
      </c>
      <c r="M41" s="2"/>
      <c r="N41" s="19">
        <f t="shared" si="8"/>
        <v>0</v>
      </c>
      <c r="O41" s="11"/>
      <c r="P41" s="2">
        <v>32.520000000000003</v>
      </c>
      <c r="Q41" s="2"/>
      <c r="R41" s="19">
        <f t="shared" si="9"/>
        <v>1.2135974322368169E-5</v>
      </c>
      <c r="S41" s="2"/>
      <c r="T41" s="2"/>
      <c r="U41" s="2"/>
      <c r="V41" s="19">
        <f t="shared" si="10"/>
        <v>0</v>
      </c>
      <c r="W41" s="2"/>
      <c r="X41" s="2">
        <f t="shared" si="11"/>
        <v>32.520000000000003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887.88</v>
      </c>
      <c r="E42" s="2"/>
      <c r="F42" s="19">
        <f t="shared" si="5"/>
        <v>3.461367978720626E-2</v>
      </c>
      <c r="G42" s="2"/>
      <c r="H42" s="2"/>
      <c r="I42" s="2"/>
      <c r="J42" s="19">
        <f t="shared" si="6"/>
        <v>0</v>
      </c>
      <c r="K42" s="2"/>
      <c r="L42" s="2">
        <f t="shared" si="7"/>
        <v>887.88</v>
      </c>
      <c r="M42" s="2"/>
      <c r="N42" s="19">
        <f t="shared" si="8"/>
        <v>0</v>
      </c>
      <c r="O42" s="11"/>
      <c r="P42" s="2">
        <v>207450.38</v>
      </c>
      <c r="Q42" s="2"/>
      <c r="R42" s="19">
        <f t="shared" si="9"/>
        <v>7.7417358082580531E-2</v>
      </c>
      <c r="S42" s="2"/>
      <c r="T42" s="2"/>
      <c r="U42" s="2"/>
      <c r="V42" s="19">
        <f t="shared" si="10"/>
        <v>0</v>
      </c>
      <c r="W42" s="2"/>
      <c r="X42" s="2">
        <f t="shared" si="11"/>
        <v>207450.38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"5011", " - ", "PURCHASES @ COST-NO VALUE TEXT")</f>
        <v xml:space="preserve">          5011 - PURCHASES @ COST-NO VALUE TEXT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67.17</v>
      </c>
      <c r="Q43" s="2"/>
      <c r="R43" s="19">
        <f t="shared" si="9"/>
        <v>2.5066832571754913E-5</v>
      </c>
      <c r="S43" s="2"/>
      <c r="T43" s="2"/>
      <c r="U43" s="2"/>
      <c r="V43" s="19">
        <f t="shared" si="10"/>
        <v>0</v>
      </c>
      <c r="W43" s="2"/>
      <c r="X43" s="2">
        <f t="shared" si="11"/>
        <v>67.17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"5013", " - ", "PURCHASES @ COST-TRADE BOOKS")</f>
        <v xml:space="preserve">          5013 - PURCHASES @ COST-TRADE BOOKS</v>
      </c>
      <c r="C44" s="11"/>
      <c r="D44" s="2">
        <v>800</v>
      </c>
      <c r="E44" s="2"/>
      <c r="F44" s="19">
        <f t="shared" si="5"/>
        <v>3.1187709859175797E-2</v>
      </c>
      <c r="G44" s="2"/>
      <c r="H44" s="2"/>
      <c r="I44" s="2"/>
      <c r="J44" s="19">
        <f t="shared" si="6"/>
        <v>0</v>
      </c>
      <c r="K44" s="2"/>
      <c r="L44" s="2">
        <f t="shared" si="7"/>
        <v>800</v>
      </c>
      <c r="M44" s="2"/>
      <c r="N44" s="19">
        <f t="shared" si="8"/>
        <v>0</v>
      </c>
      <c r="O44" s="11"/>
      <c r="P44" s="2">
        <v>9670.02</v>
      </c>
      <c r="Q44" s="2"/>
      <c r="R44" s="19">
        <f t="shared" si="9"/>
        <v>3.6087058553747426E-3</v>
      </c>
      <c r="S44" s="2"/>
      <c r="T44" s="2"/>
      <c r="U44" s="2"/>
      <c r="V44" s="19">
        <f t="shared" si="10"/>
        <v>0</v>
      </c>
      <c r="W44" s="2"/>
      <c r="X44" s="2">
        <f t="shared" si="11"/>
        <v>9670.02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111.57</v>
      </c>
      <c r="Q45" s="2"/>
      <c r="R45" s="19">
        <f t="shared" si="9"/>
        <v>4.1636244008198533E-5</v>
      </c>
      <c r="S45" s="2"/>
      <c r="T45" s="2"/>
      <c r="U45" s="2"/>
      <c r="V45" s="19">
        <f t="shared" si="10"/>
        <v>0</v>
      </c>
      <c r="W45" s="2"/>
      <c r="X45" s="2">
        <f t="shared" si="11"/>
        <v>111.57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"5018", " - ", "PURCHASES @ COST-STUDY GUIDES")</f>
        <v xml:space="preserve">          5018 - PURCHASES @ COST-STUDY GUIDES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967.21</v>
      </c>
      <c r="Q46" s="2"/>
      <c r="R46" s="19">
        <f t="shared" si="9"/>
        <v>3.6094820800546478E-4</v>
      </c>
      <c r="S46" s="2"/>
      <c r="T46" s="2"/>
      <c r="U46" s="2"/>
      <c r="V46" s="19">
        <f t="shared" si="10"/>
        <v>0</v>
      </c>
      <c r="W46" s="2"/>
      <c r="X46" s="2">
        <f t="shared" si="11"/>
        <v>967.21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149318.16</v>
      </c>
      <c r="E47" s="2"/>
      <c r="F47" s="19">
        <f t="shared" si="5"/>
        <v>5.8211143134824868</v>
      </c>
      <c r="G47" s="2"/>
      <c r="H47" s="2"/>
      <c r="I47" s="2"/>
      <c r="J47" s="19">
        <f t="shared" si="6"/>
        <v>0</v>
      </c>
      <c r="K47" s="2"/>
      <c r="L47" s="2">
        <f t="shared" si="7"/>
        <v>149318.16</v>
      </c>
      <c r="M47" s="2"/>
      <c r="N47" s="19">
        <f t="shared" si="8"/>
        <v>0</v>
      </c>
      <c r="O47" s="11"/>
      <c r="P47" s="2">
        <v>-1024895.97</v>
      </c>
      <c r="Q47" s="2"/>
      <c r="R47" s="19">
        <f t="shared" si="9"/>
        <v>-0.38247574338925633</v>
      </c>
      <c r="S47" s="2"/>
      <c r="T47" s="2"/>
      <c r="U47" s="2"/>
      <c r="V47" s="19">
        <f t="shared" si="10"/>
        <v>0</v>
      </c>
      <c r="W47" s="2"/>
      <c r="X47" s="2">
        <f t="shared" si="11"/>
        <v>-1024895.97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30994</v>
      </c>
      <c r="E48" s="2"/>
      <c r="F48" s="19">
        <f t="shared" si="5"/>
        <v>1.2082898492191183</v>
      </c>
      <c r="G48" s="2"/>
      <c r="H48" s="2"/>
      <c r="I48" s="2"/>
      <c r="J48" s="19">
        <f t="shared" si="6"/>
        <v>0</v>
      </c>
      <c r="K48" s="2"/>
      <c r="L48" s="2">
        <f t="shared" si="7"/>
        <v>30994</v>
      </c>
      <c r="M48" s="2"/>
      <c r="N48" s="19">
        <f t="shared" si="8"/>
        <v>0</v>
      </c>
      <c r="O48" s="11"/>
      <c r="P48" s="2">
        <v>1361322</v>
      </c>
      <c r="Q48" s="2"/>
      <c r="R48" s="19">
        <f t="shared" si="9"/>
        <v>0.5080248719703222</v>
      </c>
      <c r="S48" s="2"/>
      <c r="T48" s="2"/>
      <c r="U48" s="2"/>
      <c r="V48" s="19">
        <f t="shared" si="10"/>
        <v>0</v>
      </c>
      <c r="W48" s="2"/>
      <c r="X48" s="2">
        <f t="shared" si="11"/>
        <v>1361322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0</v>
      </c>
      <c r="Q49" s="2"/>
      <c r="R49" s="19">
        <f t="shared" si="9"/>
        <v>0</v>
      </c>
      <c r="S49" s="2"/>
      <c r="T49" s="2"/>
      <c r="U49" s="2"/>
      <c r="V49" s="19">
        <f t="shared" si="10"/>
        <v>0</v>
      </c>
      <c r="W49" s="2"/>
      <c r="X49" s="2">
        <f t="shared" si="11"/>
        <v>0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271.27</v>
      </c>
      <c r="E50" s="2"/>
      <c r="F50" s="19">
        <f t="shared" si="5"/>
        <v>1.0575362566873272E-2</v>
      </c>
      <c r="G50" s="2"/>
      <c r="H50" s="2"/>
      <c r="I50" s="2"/>
      <c r="J50" s="19">
        <f t="shared" si="6"/>
        <v>0</v>
      </c>
      <c r="K50" s="2"/>
      <c r="L50" s="2">
        <f t="shared" si="7"/>
        <v>271.27</v>
      </c>
      <c r="M50" s="2"/>
      <c r="N50" s="19">
        <f t="shared" si="8"/>
        <v>0</v>
      </c>
      <c r="O50" s="11"/>
      <c r="P50" s="2">
        <v>50313.73</v>
      </c>
      <c r="Q50" s="2"/>
      <c r="R50" s="19">
        <f t="shared" si="9"/>
        <v>1.8776326425048125E-2</v>
      </c>
      <c r="S50" s="2"/>
      <c r="T50" s="2"/>
      <c r="U50" s="2"/>
      <c r="V50" s="19">
        <f t="shared" si="10"/>
        <v>0</v>
      </c>
      <c r="W50" s="2"/>
      <c r="X50" s="2">
        <f t="shared" si="11"/>
        <v>50313.73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>
        <v>58.77</v>
      </c>
      <c r="E51" s="2"/>
      <c r="F51" s="19">
        <f t="shared" si="5"/>
        <v>2.2911271355297021E-3</v>
      </c>
      <c r="G51" s="2"/>
      <c r="H51" s="2"/>
      <c r="I51" s="2"/>
      <c r="J51" s="19">
        <f t="shared" si="6"/>
        <v>0</v>
      </c>
      <c r="K51" s="2"/>
      <c r="L51" s="2">
        <f t="shared" si="7"/>
        <v>58.77</v>
      </c>
      <c r="M51" s="2"/>
      <c r="N51" s="19">
        <f t="shared" si="8"/>
        <v>0</v>
      </c>
      <c r="O51" s="11"/>
      <c r="P51" s="2">
        <v>17858.900000000001</v>
      </c>
      <c r="Q51" s="2"/>
      <c r="R51" s="19">
        <f t="shared" si="9"/>
        <v>6.6646725653671862E-3</v>
      </c>
      <c r="S51" s="2"/>
      <c r="T51" s="2"/>
      <c r="U51" s="2"/>
      <c r="V51" s="19">
        <f t="shared" si="10"/>
        <v>0</v>
      </c>
      <c r="W51" s="2"/>
      <c r="X51" s="2">
        <f t="shared" si="11"/>
        <v>17858.900000000001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"5504", " - ", "FREIGHT-IN-DIGITAL TEXT")</f>
        <v xml:space="preserve">          5504 - FREIGHT-IN-DIGITAL TEXT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28.92</v>
      </c>
      <c r="Q52" s="2"/>
      <c r="R52" s="19">
        <f t="shared" si="9"/>
        <v>1.0792508530224091E-5</v>
      </c>
      <c r="S52" s="2"/>
      <c r="T52" s="2"/>
      <c r="U52" s="2"/>
      <c r="V52" s="19">
        <f t="shared" si="10"/>
        <v>0</v>
      </c>
      <c r="W52" s="2"/>
      <c r="X52" s="2">
        <f t="shared" si="11"/>
        <v>28.92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"5513", " - ", "FREIGHT-IN-TRADE BOOKS")</f>
        <v xml:space="preserve">          5513 - FREIGHT-IN-TRADE BOOKS</v>
      </c>
      <c r="C53" s="11"/>
      <c r="D53" s="2"/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85.28</v>
      </c>
      <c r="Q53" s="2"/>
      <c r="R53" s="19">
        <f t="shared" si="9"/>
        <v>3.182521187612415E-5</v>
      </c>
      <c r="S53" s="2"/>
      <c r="T53" s="2"/>
      <c r="U53" s="2"/>
      <c r="V53" s="19">
        <f t="shared" si="10"/>
        <v>0</v>
      </c>
      <c r="W53" s="2"/>
      <c r="X53" s="2">
        <f t="shared" si="11"/>
        <v>85.28</v>
      </c>
      <c r="Y53" s="2"/>
      <c r="Z53" s="19">
        <f t="shared" si="12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8" t="s">
        <v>108</v>
      </c>
      <c r="C55" s="28"/>
      <c r="D55" s="21">
        <f>D12-D37</f>
        <v>-5617.3700000000244</v>
      </c>
      <c r="E55" s="14"/>
      <c r="F55" s="20">
        <f>IF(D$12=0,0,D55/D$12)</f>
        <v>-0.21899113216454888</v>
      </c>
      <c r="G55" s="14"/>
      <c r="H55" s="21">
        <f>H12-H37</f>
        <v>5309</v>
      </c>
      <c r="I55" s="14"/>
      <c r="J55" s="20">
        <f>IF(H$12=0,0,H55/H$12)</f>
        <v>0.27052229299363056</v>
      </c>
      <c r="K55" s="16"/>
      <c r="L55" s="21">
        <f>+D55-H55</f>
        <v>-10926.370000000024</v>
      </c>
      <c r="M55" s="16"/>
      <c r="N55" s="20">
        <f>IF(H55=0,0,L55/H55)</f>
        <v>-2.0580843850065973</v>
      </c>
      <c r="O55" s="29"/>
      <c r="P55" s="21">
        <f>P12-P37</f>
        <v>775117.30000000051</v>
      </c>
      <c r="Q55" s="14"/>
      <c r="R55" s="20">
        <f>IF(P$12=0,0,P55/P$12)</f>
        <v>0.28926210484696646</v>
      </c>
      <c r="S55" s="14"/>
      <c r="T55" s="21">
        <f>T12-T37</f>
        <v>1198484</v>
      </c>
      <c r="U55" s="14"/>
      <c r="V55" s="20">
        <f>IF(T$12=0,0,T55/T$12)</f>
        <v>0.27270166426461495</v>
      </c>
      <c r="W55" s="16"/>
      <c r="X55" s="21">
        <f>+P55-T55</f>
        <v>-423366.69999999949</v>
      </c>
      <c r="Y55" s="16"/>
      <c r="Z55" s="20">
        <f>IF(T55=0,0,X55/T55)</f>
        <v>-0.35325185818083471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295</v>
      </c>
      <c r="C57" s="10"/>
      <c r="D57" s="22">
        <f>SUM(OSRRefD22x_0)</f>
        <v>52574.149999999994</v>
      </c>
      <c r="E57" s="22"/>
      <c r="F57" s="32">
        <f t="shared" ref="F57:F68" si="13">IF(D$12=0,0,D57/D$12)</f>
        <v>2.0495841703659838</v>
      </c>
      <c r="G57" s="22"/>
      <c r="H57" s="22">
        <f>SUM(OSRRefH22x_0)</f>
        <v>52455.399279826939</v>
      </c>
      <c r="I57" s="22"/>
      <c r="J57" s="32">
        <f t="shared" ref="J57:J68" si="14">IF(H$12=0,0,H57/H$12)</f>
        <v>2.6728865875071053</v>
      </c>
      <c r="K57" s="4"/>
      <c r="L57" s="22">
        <f t="shared" ref="L57:L68" si="15">+D57-H57</f>
        <v>118.75072017305502</v>
      </c>
      <c r="M57" s="4"/>
      <c r="N57" s="32">
        <f t="shared" ref="N57:N68" si="16">IF(H57=0,0,L57/H57)</f>
        <v>2.2638416979646105E-3</v>
      </c>
      <c r="O57" s="10"/>
      <c r="P57" s="22">
        <f>SUM(OSRRefP22x_0)</f>
        <v>461844.33999999991</v>
      </c>
      <c r="Q57" s="22"/>
      <c r="R57" s="32">
        <f t="shared" ref="R57:R68" si="17">IF(P$12=0,0,P57/P$12)</f>
        <v>0.17235335335704405</v>
      </c>
      <c r="S57" s="22"/>
      <c r="T57" s="22">
        <f>SUM(OSRRefT22x_0)</f>
        <v>557332.25602797652</v>
      </c>
      <c r="U57" s="22"/>
      <c r="V57" s="32">
        <f t="shared" ref="V57:V68" si="18">IF(T$12=0,0,T57/T$12)</f>
        <v>0.12681473742426405</v>
      </c>
      <c r="W57" s="4"/>
      <c r="X57" s="22">
        <f t="shared" ref="X57:X68" si="19">+P57-T57</f>
        <v>-95487.916027976607</v>
      </c>
      <c r="Y57" s="4"/>
      <c r="Z57" s="32">
        <f t="shared" ref="Z57:Z68" si="20">IF(T57=0,0,X57/T57)</f>
        <v>-0.17133032404853915</v>
      </c>
    </row>
    <row r="58" spans="1:26" s="25" customFormat="1" outlineLevel="1" collapsed="1" x14ac:dyDescent="0.25">
      <c r="A58" s="27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14359.289999999997</v>
      </c>
      <c r="E58" s="1"/>
      <c r="F58" s="5">
        <f t="shared" si="13"/>
        <v>0.55979171287970542</v>
      </c>
      <c r="G58" s="1"/>
      <c r="H58" s="1">
        <f>SUM(OSRRefH22_0x_0)</f>
        <v>13074.771600211543</v>
      </c>
      <c r="I58" s="1"/>
      <c r="J58" s="5">
        <f t="shared" si="14"/>
        <v>0.66623040001077927</v>
      </c>
      <c r="K58" s="1"/>
      <c r="L58" s="1">
        <f t="shared" si="15"/>
        <v>1284.5183997884542</v>
      </c>
      <c r="M58" s="1"/>
      <c r="N58" s="5">
        <f t="shared" si="16"/>
        <v>9.8244041201275847E-2</v>
      </c>
      <c r="O58" s="13"/>
      <c r="P58" s="1">
        <f>SUM(OSRRefP22_0x_0)</f>
        <v>120169.99</v>
      </c>
      <c r="Q58" s="1"/>
      <c r="R58" s="5">
        <f t="shared" si="17"/>
        <v>4.4845630779804413E-2</v>
      </c>
      <c r="S58" s="1"/>
      <c r="T58" s="1">
        <f>SUM(OSRRefT22_0x_0)</f>
        <v>125653.73619736155</v>
      </c>
      <c r="U58" s="1"/>
      <c r="V58" s="5">
        <f t="shared" si="18"/>
        <v>2.8591105915546124E-2</v>
      </c>
      <c r="W58" s="1"/>
      <c r="X58" s="1">
        <f t="shared" si="19"/>
        <v>-5483.7461973615427</v>
      </c>
      <c r="Y58" s="1"/>
      <c r="Z58" s="5">
        <f t="shared" si="20"/>
        <v>-4.3641728159585669E-2</v>
      </c>
    </row>
    <row r="59" spans="1:26" s="24" customFormat="1" hidden="1" outlineLevel="2" x14ac:dyDescent="0.25">
      <c r="A59" s="26"/>
      <c r="B59" s="11" t="str">
        <f>CONCATENATE("          ", "6111", " - ", "F.I.C.A.")</f>
        <v xml:space="preserve">          6111 - F.I.C.A.</v>
      </c>
      <c r="C59" s="11"/>
      <c r="D59" s="7">
        <v>2997.29</v>
      </c>
      <c r="E59" s="2"/>
      <c r="F59" s="6">
        <f t="shared" si="13"/>
        <v>0.11684826360476128</v>
      </c>
      <c r="G59" s="2"/>
      <c r="H59" s="7">
        <v>1960.39645367308</v>
      </c>
      <c r="I59" s="2"/>
      <c r="J59" s="6">
        <f t="shared" si="14"/>
        <v>9.9892812926016816E-2</v>
      </c>
      <c r="K59" s="2"/>
      <c r="L59" s="7">
        <f t="shared" si="15"/>
        <v>1036.8935463269199</v>
      </c>
      <c r="M59" s="2"/>
      <c r="N59" s="6">
        <f t="shared" si="16"/>
        <v>0.52892033363157398</v>
      </c>
      <c r="O59" s="11"/>
      <c r="P59" s="7">
        <v>21909.06</v>
      </c>
      <c r="Q59" s="2"/>
      <c r="R59" s="6">
        <f t="shared" si="17"/>
        <v>8.1761312911200357E-3</v>
      </c>
      <c r="S59" s="2"/>
      <c r="T59" s="7">
        <v>19435.720999448102</v>
      </c>
      <c r="U59" s="2"/>
      <c r="V59" s="6">
        <f t="shared" si="18"/>
        <v>4.422381494231231E-3</v>
      </c>
      <c r="W59" s="2"/>
      <c r="X59" s="7">
        <f t="shared" si="19"/>
        <v>2473.3390005518995</v>
      </c>
      <c r="Y59" s="2"/>
      <c r="Z59" s="6">
        <f t="shared" si="20"/>
        <v>0.1272573834859089</v>
      </c>
    </row>
    <row r="60" spans="1:26" s="24" customFormat="1" hidden="1" outlineLevel="2" x14ac:dyDescent="0.25">
      <c r="A60" s="26"/>
      <c r="B60" s="11" t="str">
        <f>CONCATENATE("          ", "6112", " - ", "COMPENSATION INSURANCE")</f>
        <v xml:space="preserve">          6112 - COMPENSATION INSURANCE</v>
      </c>
      <c r="C60" s="11"/>
      <c r="D60" s="7">
        <v>137.72</v>
      </c>
      <c r="E60" s="2"/>
      <c r="F60" s="6">
        <f t="shared" si="13"/>
        <v>5.3689642522571131E-3</v>
      </c>
      <c r="G60" s="2"/>
      <c r="H60" s="7">
        <v>621.42289807692305</v>
      </c>
      <c r="I60" s="2"/>
      <c r="J60" s="6">
        <f t="shared" si="14"/>
        <v>3.1664861048505633E-2</v>
      </c>
      <c r="K60" s="2"/>
      <c r="L60" s="7">
        <f t="shared" si="15"/>
        <v>-483.70289807692302</v>
      </c>
      <c r="M60" s="2"/>
      <c r="N60" s="6">
        <f t="shared" si="16"/>
        <v>-0.77837958590487555</v>
      </c>
      <c r="O60" s="11"/>
      <c r="P60" s="7">
        <v>1185.44</v>
      </c>
      <c r="Q60" s="2"/>
      <c r="R60" s="6">
        <f t="shared" si="17"/>
        <v>4.4238835795535426E-4</v>
      </c>
      <c r="S60" s="2"/>
      <c r="T60" s="7">
        <v>6695.6449337019203</v>
      </c>
      <c r="U60" s="2"/>
      <c r="V60" s="6">
        <f t="shared" si="18"/>
        <v>1.5235193100161962E-3</v>
      </c>
      <c r="W60" s="2"/>
      <c r="X60" s="7">
        <f t="shared" si="19"/>
        <v>-5510.2049337019198</v>
      </c>
      <c r="Y60" s="2"/>
      <c r="Z60" s="6">
        <f t="shared" si="20"/>
        <v>-0.82295357478811404</v>
      </c>
    </row>
    <row r="61" spans="1:26" s="24" customFormat="1" hidden="1" outlineLevel="2" x14ac:dyDescent="0.25">
      <c r="A61" s="26"/>
      <c r="B61" s="11" t="str">
        <f>CONCATENATE("          ", "6113", " - ", "GROUP INSURANCE")</f>
        <v xml:space="preserve">          6113 - GROUP INSURANCE</v>
      </c>
      <c r="C61" s="11"/>
      <c r="D61" s="7">
        <v>4943.91</v>
      </c>
      <c r="E61" s="2"/>
      <c r="F61" s="6">
        <f t="shared" si="13"/>
        <v>0.19273653831234727</v>
      </c>
      <c r="G61" s="2"/>
      <c r="H61" s="7">
        <v>4969.6153846153802</v>
      </c>
      <c r="I61" s="2"/>
      <c r="J61" s="6">
        <f t="shared" si="14"/>
        <v>0.25322880940715314</v>
      </c>
      <c r="K61" s="2"/>
      <c r="L61" s="7">
        <f t="shared" si="15"/>
        <v>-25.705384615380353</v>
      </c>
      <c r="M61" s="2"/>
      <c r="N61" s="6">
        <f t="shared" si="16"/>
        <v>-5.1725098676564489E-3</v>
      </c>
      <c r="O61" s="11"/>
      <c r="P61" s="7">
        <v>45163.86</v>
      </c>
      <c r="Q61" s="2"/>
      <c r="R61" s="6">
        <f t="shared" si="17"/>
        <v>1.6854472486440061E-2</v>
      </c>
      <c r="S61" s="2"/>
      <c r="T61" s="7">
        <v>47854.615384615397</v>
      </c>
      <c r="U61" s="2"/>
      <c r="V61" s="6">
        <f t="shared" si="18"/>
        <v>1.0888783878739861E-2</v>
      </c>
      <c r="W61" s="2"/>
      <c r="X61" s="7">
        <f t="shared" si="19"/>
        <v>-2690.7553846153969</v>
      </c>
      <c r="Y61" s="2"/>
      <c r="Z61" s="6">
        <f t="shared" si="20"/>
        <v>-5.6227708926074406E-2</v>
      </c>
    </row>
    <row r="62" spans="1:26" s="24" customFormat="1" hidden="1" outlineLevel="2" x14ac:dyDescent="0.25">
      <c r="A62" s="26"/>
      <c r="B62" s="11" t="str">
        <f>CONCATENATE("          ", "6114", " - ", "STATE UNEMPLOYMENT INSURANCE")</f>
        <v xml:space="preserve">          6114 - STATE UNEMPLOYMENT INSURANCE</v>
      </c>
      <c r="C62" s="11"/>
      <c r="D62" s="7">
        <v>91.65</v>
      </c>
      <c r="E62" s="2"/>
      <c r="F62" s="6">
        <f t="shared" si="13"/>
        <v>3.5729420107418275E-3</v>
      </c>
      <c r="G62" s="2"/>
      <c r="H62" s="7">
        <v>87.33511</v>
      </c>
      <c r="I62" s="2"/>
      <c r="J62" s="6">
        <f t="shared" si="14"/>
        <v>4.4501966878980892E-3</v>
      </c>
      <c r="K62" s="2"/>
      <c r="L62" s="7">
        <f t="shared" si="15"/>
        <v>4.3148900000000054</v>
      </c>
      <c r="M62" s="2"/>
      <c r="N62" s="6">
        <f t="shared" si="16"/>
        <v>4.9406132310361839E-2</v>
      </c>
      <c r="O62" s="11"/>
      <c r="P62" s="7">
        <v>762.51</v>
      </c>
      <c r="Q62" s="2"/>
      <c r="R62" s="6">
        <f t="shared" si="17"/>
        <v>2.8455725032438352E-4</v>
      </c>
      <c r="S62" s="2"/>
      <c r="T62" s="7">
        <v>941.00955825000005</v>
      </c>
      <c r="U62" s="2"/>
      <c r="V62" s="6">
        <f t="shared" si="18"/>
        <v>2.1411622735362769E-4</v>
      </c>
      <c r="W62" s="2"/>
      <c r="X62" s="7">
        <f t="shared" si="19"/>
        <v>-178.49955825000006</v>
      </c>
      <c r="Y62" s="2"/>
      <c r="Z62" s="6">
        <f t="shared" si="20"/>
        <v>-0.18968942098947064</v>
      </c>
    </row>
    <row r="63" spans="1:26" s="24" customFormat="1" hidden="1" outlineLevel="2" x14ac:dyDescent="0.25">
      <c r="A63" s="26"/>
      <c r="B63" s="11" t="str">
        <f>CONCATENATE("          ", "6115", " - ", "P.E.R.S.")</f>
        <v xml:space="preserve">          6115 - P.E.R.S.</v>
      </c>
      <c r="C63" s="11"/>
      <c r="D63" s="7">
        <v>1722.62</v>
      </c>
      <c r="E63" s="2"/>
      <c r="F63" s="6">
        <f t="shared" si="13"/>
        <v>6.7155715947016761E-2</v>
      </c>
      <c r="G63" s="2"/>
      <c r="H63" s="7">
        <v>1585.67246538462</v>
      </c>
      <c r="I63" s="2"/>
      <c r="J63" s="6">
        <f t="shared" si="14"/>
        <v>8.0798596962273622E-2</v>
      </c>
      <c r="K63" s="2"/>
      <c r="L63" s="7">
        <f t="shared" si="15"/>
        <v>136.94753461537994</v>
      </c>
      <c r="M63" s="2"/>
      <c r="N63" s="6">
        <f t="shared" si="16"/>
        <v>8.6365587853076589E-2</v>
      </c>
      <c r="O63" s="11"/>
      <c r="P63" s="7">
        <v>18464.349999999999</v>
      </c>
      <c r="Q63" s="2"/>
      <c r="R63" s="6">
        <f t="shared" si="17"/>
        <v>6.8906173886598603E-3</v>
      </c>
      <c r="S63" s="2"/>
      <c r="T63" s="7">
        <v>13953.9176953846</v>
      </c>
      <c r="U63" s="2"/>
      <c r="V63" s="6">
        <f t="shared" si="18"/>
        <v>3.1750583057786673E-3</v>
      </c>
      <c r="W63" s="2"/>
      <c r="X63" s="7">
        <f t="shared" si="19"/>
        <v>4510.4323046153986</v>
      </c>
      <c r="Y63" s="2"/>
      <c r="Z63" s="6">
        <f t="shared" si="20"/>
        <v>0.32323770306508759</v>
      </c>
    </row>
    <row r="64" spans="1:26" s="24" customFormat="1" hidden="1" outlineLevel="2" x14ac:dyDescent="0.25">
      <c r="A64" s="26"/>
      <c r="B64" s="11" t="str">
        <f>CONCATENATE("          ", "6116", " - ", "EDUCATIONAL BENEFITS")</f>
        <v xml:space="preserve">          6116 - EDUCATIONAL BENEFITS</v>
      </c>
      <c r="C64" s="11"/>
      <c r="D64" s="7"/>
      <c r="E64" s="2"/>
      <c r="F64" s="6">
        <f t="shared" si="13"/>
        <v>0</v>
      </c>
      <c r="G64" s="2"/>
      <c r="H64" s="7">
        <v>0</v>
      </c>
      <c r="I64" s="2"/>
      <c r="J64" s="6">
        <f t="shared" si="14"/>
        <v>0</v>
      </c>
      <c r="K64" s="2"/>
      <c r="L64" s="7">
        <f t="shared" si="15"/>
        <v>0</v>
      </c>
      <c r="M64" s="2"/>
      <c r="N64" s="6">
        <f t="shared" si="16"/>
        <v>0</v>
      </c>
      <c r="O64" s="11"/>
      <c r="P64" s="7"/>
      <c r="Q64" s="2"/>
      <c r="R64" s="6">
        <f t="shared" si="17"/>
        <v>0</v>
      </c>
      <c r="S64" s="2"/>
      <c r="T64" s="7">
        <v>0</v>
      </c>
      <c r="U64" s="2"/>
      <c r="V64" s="6">
        <f t="shared" si="18"/>
        <v>0</v>
      </c>
      <c r="W64" s="2"/>
      <c r="X64" s="7">
        <f t="shared" si="19"/>
        <v>0</v>
      </c>
      <c r="Y64" s="2"/>
      <c r="Z64" s="6">
        <f t="shared" si="20"/>
        <v>0</v>
      </c>
    </row>
    <row r="65" spans="1:26" s="24" customFormat="1" hidden="1" outlineLevel="2" x14ac:dyDescent="0.25">
      <c r="A65" s="26"/>
      <c r="B65" s="11" t="str">
        <f>CONCATENATE("          ", "6117", " - ", "RETIREMENT STAFF HOURLY")</f>
        <v xml:space="preserve">          6117 - RETIREMENT STAFF HOURLY</v>
      </c>
      <c r="C65" s="11"/>
      <c r="D65" s="7">
        <v>246.24</v>
      </c>
      <c r="E65" s="2"/>
      <c r="F65" s="6">
        <f t="shared" si="13"/>
        <v>9.5995770946543102E-3</v>
      </c>
      <c r="G65" s="2"/>
      <c r="H65" s="7"/>
      <c r="I65" s="2"/>
      <c r="J65" s="6">
        <f t="shared" si="14"/>
        <v>0</v>
      </c>
      <c r="K65" s="2"/>
      <c r="L65" s="7">
        <f t="shared" si="15"/>
        <v>246.24</v>
      </c>
      <c r="M65" s="2"/>
      <c r="N65" s="6">
        <f t="shared" si="16"/>
        <v>0</v>
      </c>
      <c r="O65" s="11"/>
      <c r="P65" s="7">
        <v>2755.82</v>
      </c>
      <c r="Q65" s="2"/>
      <c r="R65" s="6">
        <f t="shared" si="17"/>
        <v>1.0284305275851367E-3</v>
      </c>
      <c r="S65" s="2"/>
      <c r="T65" s="7"/>
      <c r="U65" s="2"/>
      <c r="V65" s="6">
        <f t="shared" si="18"/>
        <v>0</v>
      </c>
      <c r="W65" s="2"/>
      <c r="X65" s="7">
        <f t="shared" si="19"/>
        <v>2755.82</v>
      </c>
      <c r="Y65" s="2"/>
      <c r="Z65" s="6">
        <f t="shared" si="20"/>
        <v>0</v>
      </c>
    </row>
    <row r="66" spans="1:26" s="24" customFormat="1" hidden="1" outlineLevel="2" x14ac:dyDescent="0.25">
      <c r="A66" s="26"/>
      <c r="B66" s="11" t="str">
        <f>CONCATENATE("          ", "6118", " - ", "VACATION")</f>
        <v xml:space="preserve">          6118 - VACATION</v>
      </c>
      <c r="C66" s="11"/>
      <c r="D66" s="7">
        <v>2466.27</v>
      </c>
      <c r="E66" s="2"/>
      <c r="F66" s="6">
        <f t="shared" si="13"/>
        <v>9.6146641492986865E-2</v>
      </c>
      <c r="G66" s="2"/>
      <c r="H66" s="7">
        <v>1682.75965</v>
      </c>
      <c r="I66" s="2"/>
      <c r="J66" s="6">
        <f t="shared" si="14"/>
        <v>8.5745714649681531E-2</v>
      </c>
      <c r="K66" s="2"/>
      <c r="L66" s="7">
        <f t="shared" si="15"/>
        <v>783.51035000000002</v>
      </c>
      <c r="M66" s="2"/>
      <c r="N66" s="6">
        <f t="shared" si="16"/>
        <v>0.46561037400676919</v>
      </c>
      <c r="O66" s="11"/>
      <c r="P66" s="7">
        <v>14500.95</v>
      </c>
      <c r="Q66" s="2"/>
      <c r="R66" s="6">
        <f t="shared" si="17"/>
        <v>5.4115361884976843E-3</v>
      </c>
      <c r="S66" s="2"/>
      <c r="T66" s="7">
        <v>14808.28492</v>
      </c>
      <c r="U66" s="2"/>
      <c r="V66" s="6">
        <f t="shared" si="18"/>
        <v>3.3694600366701603E-3</v>
      </c>
      <c r="W66" s="2"/>
      <c r="X66" s="7">
        <f t="shared" si="19"/>
        <v>-307.33491999999933</v>
      </c>
      <c r="Y66" s="2"/>
      <c r="Z66" s="6">
        <f t="shared" si="20"/>
        <v>-2.0754254909352416E-2</v>
      </c>
    </row>
    <row r="67" spans="1:26" s="24" customFormat="1" hidden="1" outlineLevel="2" x14ac:dyDescent="0.25">
      <c r="A67" s="26"/>
      <c r="B67" s="11" t="str">
        <f>CONCATENATE("          ", "6119", " - ", "SICK LEAVE")</f>
        <v xml:space="preserve">          6119 - SICK LEAVE</v>
      </c>
      <c r="C67" s="11"/>
      <c r="D67" s="7">
        <v>1289.8800000000001</v>
      </c>
      <c r="E67" s="2"/>
      <c r="F67" s="6">
        <f t="shared" si="13"/>
        <v>5.0285503991442104E-2</v>
      </c>
      <c r="G67" s="2"/>
      <c r="H67" s="7">
        <v>1417.5696384615401</v>
      </c>
      <c r="I67" s="2"/>
      <c r="J67" s="6">
        <f t="shared" si="14"/>
        <v>7.2232847819696314E-2</v>
      </c>
      <c r="K67" s="2"/>
      <c r="L67" s="7">
        <f t="shared" si="15"/>
        <v>-127.68963846153997</v>
      </c>
      <c r="M67" s="2"/>
      <c r="N67" s="6">
        <f t="shared" si="16"/>
        <v>-9.0076448448852903E-2</v>
      </c>
      <c r="O67" s="11"/>
      <c r="P67" s="7">
        <v>11176.9</v>
      </c>
      <c r="Q67" s="2"/>
      <c r="R67" s="6">
        <f t="shared" si="17"/>
        <v>4.1710507811708718E-3</v>
      </c>
      <c r="S67" s="2"/>
      <c r="T67" s="7">
        <v>14464.542705961499</v>
      </c>
      <c r="U67" s="2"/>
      <c r="V67" s="6">
        <f t="shared" si="18"/>
        <v>3.2912453305528463E-3</v>
      </c>
      <c r="W67" s="2"/>
      <c r="X67" s="7">
        <f t="shared" si="19"/>
        <v>-3287.6427059614998</v>
      </c>
      <c r="Y67" s="2"/>
      <c r="Z67" s="6">
        <f t="shared" si="20"/>
        <v>-0.2272897783769211</v>
      </c>
    </row>
    <row r="68" spans="1:26" s="24" customFormat="1" hidden="1" outlineLevel="2" x14ac:dyDescent="0.25">
      <c r="A68" s="26"/>
      <c r="B68" s="11" t="str">
        <f>CONCATENATE("          ", "6156", " - ", "EMPLOYEE MEALS")</f>
        <v xml:space="preserve">          6156 - EMPLOYEE MEALS</v>
      </c>
      <c r="C68" s="11"/>
      <c r="D68" s="7">
        <v>463.71</v>
      </c>
      <c r="E68" s="2"/>
      <c r="F68" s="6">
        <f t="shared" si="13"/>
        <v>1.8077566173498011E-2</v>
      </c>
      <c r="G68" s="2"/>
      <c r="H68" s="7">
        <v>750</v>
      </c>
      <c r="I68" s="2"/>
      <c r="J68" s="6">
        <f t="shared" si="14"/>
        <v>3.8216560509554139E-2</v>
      </c>
      <c r="K68" s="2"/>
      <c r="L68" s="7">
        <f t="shared" si="15"/>
        <v>-286.29000000000002</v>
      </c>
      <c r="M68" s="2"/>
      <c r="N68" s="6">
        <f t="shared" si="16"/>
        <v>-0.38172</v>
      </c>
      <c r="O68" s="11"/>
      <c r="P68" s="7">
        <v>4251.1000000000004</v>
      </c>
      <c r="Q68" s="2"/>
      <c r="R68" s="6">
        <f t="shared" si="17"/>
        <v>1.5864465080510247E-3</v>
      </c>
      <c r="S68" s="2"/>
      <c r="T68" s="7">
        <v>7500</v>
      </c>
      <c r="U68" s="2"/>
      <c r="V68" s="6">
        <f t="shared" si="18"/>
        <v>1.7065413322035271E-3</v>
      </c>
      <c r="W68" s="2"/>
      <c r="X68" s="7">
        <f t="shared" si="19"/>
        <v>-3248.8999999999996</v>
      </c>
      <c r="Y68" s="2"/>
      <c r="Z68" s="6">
        <f t="shared" si="20"/>
        <v>-0.43318666666666661</v>
      </c>
    </row>
    <row r="69" spans="1:26" s="25" customFormat="1" outlineLevel="1" collapsed="1" x14ac:dyDescent="0.25">
      <c r="A69" s="27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29075.89</v>
      </c>
      <c r="E69" s="1"/>
      <c r="F69" s="5">
        <f t="shared" ref="F69:F79" si="21">IF(D$12=0,0,D69/D$12)</f>
        <v>1.1335130265216387</v>
      </c>
      <c r="G69" s="1"/>
      <c r="H69" s="1">
        <f>SUM(OSRRefH22_1x_0)</f>
        <v>30965.627679615402</v>
      </c>
      <c r="I69" s="1"/>
      <c r="J69" s="5">
        <f t="shared" ref="J69:J79" si="22">IF(H$12=0,0,H69/H$12)</f>
        <v>1.5778663785791287</v>
      </c>
      <c r="K69" s="1"/>
      <c r="L69" s="1">
        <f t="shared" ref="L69:L79" si="23">+D69-H69</f>
        <v>-1889.7376796154022</v>
      </c>
      <c r="M69" s="1"/>
      <c r="N69" s="5">
        <f t="shared" ref="N69:N79" si="24">IF(H69=0,0,L69/H69)</f>
        <v>-6.102694572083265E-2</v>
      </c>
      <c r="O69" s="13"/>
      <c r="P69" s="1">
        <f>SUM(OSRRefP22_1x_0)</f>
        <v>282209.40999999997</v>
      </c>
      <c r="Q69" s="1"/>
      <c r="R69" s="5">
        <f t="shared" ref="R69:R79" si="25">IF(P$12=0,0,P69/P$12)</f>
        <v>0.10531630237671187</v>
      </c>
      <c r="S69" s="1"/>
      <c r="T69" s="1">
        <f>SUM(OSRRefT22_1x_0)</f>
        <v>338828.51983061503</v>
      </c>
      <c r="U69" s="1"/>
      <c r="V69" s="5">
        <f t="shared" ref="V69:V79" si="26">IF(T$12=0,0,T69/T$12)</f>
        <v>7.7096649816038268E-2</v>
      </c>
      <c r="W69" s="1"/>
      <c r="X69" s="1">
        <f t="shared" ref="X69:X79" si="27">+P69-T69</f>
        <v>-56619.109830615052</v>
      </c>
      <c r="Y69" s="1"/>
      <c r="Z69" s="5">
        <f t="shared" ref="Z69:Z79" si="28">IF(T69=0,0,X69/T69)</f>
        <v>-0.16710255045507891</v>
      </c>
    </row>
    <row r="70" spans="1:26" s="24" customFormat="1" hidden="1" outlineLevel="2" x14ac:dyDescent="0.25">
      <c r="A70" s="26"/>
      <c r="B70" s="11" t="str">
        <f>CONCATENATE("          ", "6001", " - ", "ADMINISTRATIVE SALARIES")</f>
        <v xml:space="preserve">          6001 - ADMINISTRATIVE SALARIES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>
        <v>-311.32</v>
      </c>
      <c r="Q70" s="2"/>
      <c r="R70" s="6">
        <f t="shared" si="25"/>
        <v>-1.1617993622508173E-4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-311.32</v>
      </c>
      <c r="Y70" s="2"/>
      <c r="Z70" s="6">
        <f t="shared" si="28"/>
        <v>0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7">
        <v>19208.37</v>
      </c>
      <c r="E71" s="2"/>
      <c r="F71" s="6">
        <f t="shared" si="21"/>
        <v>0.74883133803462076</v>
      </c>
      <c r="G71" s="2"/>
      <c r="H71" s="7">
        <v>16384.0650796154</v>
      </c>
      <c r="I71" s="2"/>
      <c r="J71" s="6">
        <f t="shared" si="22"/>
        <v>0.8348568193434599</v>
      </c>
      <c r="K71" s="2"/>
      <c r="L71" s="7">
        <f t="shared" si="23"/>
        <v>2824.3049203845985</v>
      </c>
      <c r="M71" s="2"/>
      <c r="N71" s="6">
        <f t="shared" si="24"/>
        <v>0.17238120739025387</v>
      </c>
      <c r="O71" s="11"/>
      <c r="P71" s="7">
        <v>173924.05</v>
      </c>
      <c r="Q71" s="2"/>
      <c r="R71" s="6">
        <f t="shared" si="25"/>
        <v>6.4905836557265589E-2</v>
      </c>
      <c r="S71" s="2"/>
      <c r="T71" s="7">
        <v>144179.77270061499</v>
      </c>
      <c r="U71" s="2"/>
      <c r="V71" s="6">
        <f t="shared" si="26"/>
        <v>3.2806498850841234E-2</v>
      </c>
      <c r="W71" s="2"/>
      <c r="X71" s="7">
        <f t="shared" si="27"/>
        <v>29744.277299384994</v>
      </c>
      <c r="Y71" s="2"/>
      <c r="Z71" s="6">
        <f t="shared" si="28"/>
        <v>0.20629993196859936</v>
      </c>
    </row>
    <row r="72" spans="1:26" s="24" customFormat="1" hidden="1" outlineLevel="2" x14ac:dyDescent="0.25">
      <c r="A72" s="26"/>
      <c r="B72" s="11" t="str">
        <f>CONCATENATE("          ", "6003", " - ", "STAFF HOURLY-9 MONTH")</f>
        <v xml:space="preserve">          6003 - STAFF HOURLY-9 MONTH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6"/>
      <c r="B73" s="11" t="str">
        <f>CONCATENATE("          ", "6004", " - ", "STAFF HOURLY")</f>
        <v xml:space="preserve">          6004 - STAFF HOURLY</v>
      </c>
      <c r="C73" s="11"/>
      <c r="D73" s="7">
        <v>8559.48</v>
      </c>
      <c r="E73" s="2"/>
      <c r="F73" s="6">
        <f t="shared" si="21"/>
        <v>0.33368822348177257</v>
      </c>
      <c r="G73" s="2"/>
      <c r="H73" s="7">
        <v>6607.1876000000002</v>
      </c>
      <c r="I73" s="2"/>
      <c r="J73" s="6">
        <f t="shared" si="22"/>
        <v>0.3366719796178344</v>
      </c>
      <c r="K73" s="2"/>
      <c r="L73" s="7">
        <f t="shared" si="23"/>
        <v>1952.2923999999994</v>
      </c>
      <c r="M73" s="2"/>
      <c r="N73" s="6">
        <f t="shared" si="24"/>
        <v>0.29548009201373354</v>
      </c>
      <c r="O73" s="11"/>
      <c r="P73" s="7">
        <v>68298.740000000005</v>
      </c>
      <c r="Q73" s="2"/>
      <c r="R73" s="6">
        <f t="shared" si="25"/>
        <v>2.5488061343484001E-2</v>
      </c>
      <c r="S73" s="2"/>
      <c r="T73" s="7">
        <v>58143.25088</v>
      </c>
      <c r="U73" s="2"/>
      <c r="V73" s="6">
        <f t="shared" si="26"/>
        <v>1.3229848108719879E-2</v>
      </c>
      <c r="W73" s="2"/>
      <c r="X73" s="7">
        <f t="shared" si="27"/>
        <v>10155.489120000006</v>
      </c>
      <c r="Y73" s="2"/>
      <c r="Z73" s="6">
        <f t="shared" si="28"/>
        <v>0.1746632492386708</v>
      </c>
    </row>
    <row r="74" spans="1:26" s="24" customFormat="1" hidden="1" outlineLevel="2" x14ac:dyDescent="0.25">
      <c r="A74" s="26"/>
      <c r="B74" s="11" t="str">
        <f>CONCATENATE("          ", "6005", " - ", "TEMPORARY WAGES-HOURLY")</f>
        <v xml:space="preserve">          6005 - TEMPORARY WAGES-HOURLY</v>
      </c>
      <c r="C74" s="11"/>
      <c r="D74" s="7">
        <v>2368.27</v>
      </c>
      <c r="E74" s="2"/>
      <c r="F74" s="6">
        <f t="shared" si="21"/>
        <v>9.2326147035237838E-2</v>
      </c>
      <c r="G74" s="2"/>
      <c r="H74" s="7">
        <v>3705</v>
      </c>
      <c r="I74" s="2"/>
      <c r="J74" s="6">
        <f t="shared" si="22"/>
        <v>0.18878980891719746</v>
      </c>
      <c r="K74" s="2"/>
      <c r="L74" s="7">
        <f t="shared" si="23"/>
        <v>-1336.73</v>
      </c>
      <c r="M74" s="2"/>
      <c r="N74" s="6">
        <f t="shared" si="24"/>
        <v>-0.36079082321187583</v>
      </c>
      <c r="O74" s="11"/>
      <c r="P74" s="7">
        <v>15685.16</v>
      </c>
      <c r="Q74" s="2"/>
      <c r="R74" s="6">
        <f t="shared" si="25"/>
        <v>5.8534655289740551E-3</v>
      </c>
      <c r="S74" s="2"/>
      <c r="T74" s="7">
        <v>35620.44</v>
      </c>
      <c r="U74" s="2"/>
      <c r="V74" s="6">
        <f t="shared" si="26"/>
        <v>8.105033750836774E-3</v>
      </c>
      <c r="W74" s="2"/>
      <c r="X74" s="7">
        <f t="shared" si="27"/>
        <v>-19935.280000000002</v>
      </c>
      <c r="Y74" s="2"/>
      <c r="Z74" s="6">
        <f t="shared" si="28"/>
        <v>-0.55965844329828607</v>
      </c>
    </row>
    <row r="75" spans="1:26" s="24" customFormat="1" hidden="1" outlineLevel="2" x14ac:dyDescent="0.25">
      <c r="A75" s="26"/>
      <c r="B75" s="11" t="str">
        <f>CONCATENATE("          ", "6006", " - ", "TEMPORARY PART TIME")</f>
        <v xml:space="preserve">          6006 - TEMPORARY PART TIME</v>
      </c>
      <c r="C75" s="11"/>
      <c r="D75" s="7"/>
      <c r="E75" s="2"/>
      <c r="F75" s="6">
        <f t="shared" si="21"/>
        <v>0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0</v>
      </c>
      <c r="M75" s="2"/>
      <c r="N75" s="6">
        <f t="shared" si="24"/>
        <v>0</v>
      </c>
      <c r="O75" s="11"/>
      <c r="P75" s="7">
        <v>502.29</v>
      </c>
      <c r="Q75" s="2"/>
      <c r="R75" s="6">
        <f t="shared" si="25"/>
        <v>1.8744706464890242E-4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502.29</v>
      </c>
      <c r="Y75" s="2"/>
      <c r="Z75" s="6">
        <f t="shared" si="28"/>
        <v>0</v>
      </c>
    </row>
    <row r="76" spans="1:26" s="24" customFormat="1" hidden="1" outlineLevel="2" x14ac:dyDescent="0.25">
      <c r="A76" s="26"/>
      <c r="B76" s="11" t="str">
        <f>CONCATENATE("          ", "6007", " - ", "STUDENT HOURLY")</f>
        <v xml:space="preserve">          6007 - STUDENT HOURLY</v>
      </c>
      <c r="C76" s="11"/>
      <c r="D76" s="7">
        <v>-1060.23</v>
      </c>
      <c r="E76" s="2"/>
      <c r="F76" s="6">
        <f t="shared" si="21"/>
        <v>-4.1332682029992449E-2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-1060.23</v>
      </c>
      <c r="M76" s="2"/>
      <c r="N76" s="6">
        <f t="shared" si="24"/>
        <v>0</v>
      </c>
      <c r="O76" s="11"/>
      <c r="P76" s="7">
        <v>23143.23</v>
      </c>
      <c r="Q76" s="2"/>
      <c r="R76" s="6">
        <f t="shared" si="25"/>
        <v>8.6367049513118282E-3</v>
      </c>
      <c r="S76" s="2"/>
      <c r="T76" s="7">
        <v>28540.862499999999</v>
      </c>
      <c r="U76" s="2"/>
      <c r="V76" s="6">
        <f t="shared" si="26"/>
        <v>6.4941548683983587E-3</v>
      </c>
      <c r="W76" s="2"/>
      <c r="X76" s="7">
        <f t="shared" si="27"/>
        <v>-5397.6324999999997</v>
      </c>
      <c r="Y76" s="2"/>
      <c r="Z76" s="6">
        <f t="shared" si="28"/>
        <v>-0.18911945986215378</v>
      </c>
    </row>
    <row r="77" spans="1:26" s="24" customFormat="1" hidden="1" outlineLevel="2" x14ac:dyDescent="0.25">
      <c r="A77" s="26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1"/>
        <v>0</v>
      </c>
      <c r="G77" s="2"/>
      <c r="H77" s="7">
        <v>4269.375</v>
      </c>
      <c r="I77" s="2"/>
      <c r="J77" s="6">
        <f t="shared" si="22"/>
        <v>0.21754777070063694</v>
      </c>
      <c r="K77" s="2"/>
      <c r="L77" s="7">
        <f t="shared" si="23"/>
        <v>-4269.375</v>
      </c>
      <c r="M77" s="2"/>
      <c r="N77" s="6">
        <f t="shared" si="24"/>
        <v>-1</v>
      </c>
      <c r="O77" s="11"/>
      <c r="P77" s="7">
        <v>967.26</v>
      </c>
      <c r="Q77" s="2"/>
      <c r="R77" s="6">
        <f t="shared" si="25"/>
        <v>3.6096686725257791E-4</v>
      </c>
      <c r="S77" s="2"/>
      <c r="T77" s="7">
        <v>72344.193750000006</v>
      </c>
      <c r="U77" s="2"/>
      <c r="V77" s="6">
        <f t="shared" si="26"/>
        <v>1.6461114237242013E-2</v>
      </c>
      <c r="W77" s="2"/>
      <c r="X77" s="7">
        <f t="shared" si="27"/>
        <v>-71376.933750000011</v>
      </c>
      <c r="Y77" s="2"/>
      <c r="Z77" s="6">
        <f t="shared" si="28"/>
        <v>-0.98662974939851344</v>
      </c>
    </row>
    <row r="78" spans="1:26" s="24" customFormat="1" hidden="1" outlineLevel="2" x14ac:dyDescent="0.25">
      <c r="A78" s="26"/>
      <c r="B78" s="11" t="str">
        <f>CONCATENATE("          ", "6009", " - ", "TEMPORARY-SEASONAL")</f>
        <v xml:space="preserve">          6009 - TEMPORARY-SEASONAL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4" customFormat="1" hidden="1" outlineLevel="2" x14ac:dyDescent="0.25">
      <c r="A79" s="26"/>
      <c r="B79" s="11" t="str">
        <f>CONCATENATE("          ", "6010", " - ", "GRATUITY")</f>
        <v xml:space="preserve">          6010 - GRATUITY</v>
      </c>
      <c r="C79" s="11"/>
      <c r="D79" s="7"/>
      <c r="E79" s="2"/>
      <c r="F79" s="6">
        <f t="shared" si="21"/>
        <v>0</v>
      </c>
      <c r="G79" s="2"/>
      <c r="H79" s="7">
        <v>0</v>
      </c>
      <c r="I79" s="2"/>
      <c r="J79" s="6">
        <f t="shared" si="22"/>
        <v>0</v>
      </c>
      <c r="K79" s="2"/>
      <c r="L79" s="7">
        <f t="shared" si="23"/>
        <v>0</v>
      </c>
      <c r="M79" s="2"/>
      <c r="N79" s="6">
        <f t="shared" si="24"/>
        <v>0</v>
      </c>
      <c r="O79" s="11"/>
      <c r="P79" s="7"/>
      <c r="Q79" s="2"/>
      <c r="R79" s="6">
        <f t="shared" si="25"/>
        <v>0</v>
      </c>
      <c r="S79" s="2"/>
      <c r="T79" s="7">
        <v>0</v>
      </c>
      <c r="U79" s="2"/>
      <c r="V79" s="6">
        <f t="shared" si="26"/>
        <v>0</v>
      </c>
      <c r="W79" s="2"/>
      <c r="X79" s="7">
        <f t="shared" si="27"/>
        <v>0</v>
      </c>
      <c r="Y79" s="2"/>
      <c r="Z79" s="6">
        <f t="shared" si="28"/>
        <v>0</v>
      </c>
    </row>
    <row r="80" spans="1:26" s="25" customFormat="1" outlineLevel="1" collapsed="1" x14ac:dyDescent="0.25">
      <c r="A80" s="27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2.21</v>
      </c>
      <c r="E80" s="1"/>
      <c r="F80" s="5">
        <f t="shared" ref="F80:F84" si="29">IF(D$12=0,0,D80/D$12)</f>
        <v>8.6156048485973137E-5</v>
      </c>
      <c r="G80" s="1"/>
      <c r="H80" s="1">
        <f>SUM(OSRRefH22_2x_0)</f>
        <v>100</v>
      </c>
      <c r="I80" s="1"/>
      <c r="J80" s="5">
        <f t="shared" ref="J80:J84" si="30">IF(H$12=0,0,H80/H$12)</f>
        <v>5.0955414012738851E-3</v>
      </c>
      <c r="K80" s="1"/>
      <c r="L80" s="1">
        <f t="shared" ref="L80:L84" si="31">+D80-H80</f>
        <v>-97.79</v>
      </c>
      <c r="M80" s="1"/>
      <c r="N80" s="5">
        <f t="shared" ref="N80:N84" si="32">IF(H80=0,0,L80/H80)</f>
        <v>-0.9779000000000001</v>
      </c>
      <c r="O80" s="13"/>
      <c r="P80" s="1">
        <f>SUM(OSRRefP22_2x_0)</f>
        <v>2032.59</v>
      </c>
      <c r="Q80" s="1"/>
      <c r="R80" s="5">
        <f t="shared" ref="R80:R84" si="33">IF(P$12=0,0,P80/P$12)</f>
        <v>7.5853198179281405E-4</v>
      </c>
      <c r="S80" s="1"/>
      <c r="T80" s="1">
        <f>SUM(OSRRefT22_2x_0)</f>
        <v>2400</v>
      </c>
      <c r="U80" s="1"/>
      <c r="V80" s="5">
        <f t="shared" ref="V80:V84" si="34">IF(T$12=0,0,T80/T$12)</f>
        <v>5.4609322630512871E-4</v>
      </c>
      <c r="W80" s="1"/>
      <c r="X80" s="1">
        <f t="shared" ref="X80:X84" si="35">+P80-T80</f>
        <v>-367.41000000000008</v>
      </c>
      <c r="Y80" s="1"/>
      <c r="Z80" s="5">
        <f t="shared" ref="Z80:Z84" si="36">IF(T80=0,0,X80/T80)</f>
        <v>-0.15308750000000004</v>
      </c>
    </row>
    <row r="81" spans="1:26" s="24" customFormat="1" hidden="1" outlineLevel="2" x14ac:dyDescent="0.25">
      <c r="A81" s="26"/>
      <c r="B81" s="11" t="str">
        <f>CONCATENATE("          ", "6362", " - ", "ADVERTISING EXPENSE")</f>
        <v xml:space="preserve">          6362 - ADVERTISING EXPENSE</v>
      </c>
      <c r="C81" s="11"/>
      <c r="D81" s="7">
        <v>2.21</v>
      </c>
      <c r="E81" s="2"/>
      <c r="F81" s="6">
        <f t="shared" si="29"/>
        <v>8.6156048485973137E-5</v>
      </c>
      <c r="G81" s="2"/>
      <c r="H81" s="7">
        <v>100</v>
      </c>
      <c r="I81" s="2"/>
      <c r="J81" s="6">
        <f t="shared" si="30"/>
        <v>5.0955414012738851E-3</v>
      </c>
      <c r="K81" s="2"/>
      <c r="L81" s="7">
        <f t="shared" si="31"/>
        <v>-97.79</v>
      </c>
      <c r="M81" s="2"/>
      <c r="N81" s="6">
        <f t="shared" si="32"/>
        <v>-0.9779000000000001</v>
      </c>
      <c r="O81" s="11"/>
      <c r="P81" s="7">
        <v>2032.59</v>
      </c>
      <c r="Q81" s="2"/>
      <c r="R81" s="6">
        <f t="shared" si="33"/>
        <v>7.5853198179281405E-4</v>
      </c>
      <c r="S81" s="2"/>
      <c r="T81" s="7">
        <v>2400</v>
      </c>
      <c r="U81" s="2"/>
      <c r="V81" s="6">
        <f t="shared" si="34"/>
        <v>5.4609322630512871E-4</v>
      </c>
      <c r="W81" s="2"/>
      <c r="X81" s="7">
        <f t="shared" si="35"/>
        <v>-367.41000000000008</v>
      </c>
      <c r="Y81" s="2"/>
      <c r="Z81" s="6">
        <f t="shared" si="36"/>
        <v>-0.15308750000000004</v>
      </c>
    </row>
    <row r="82" spans="1:26" s="25" customFormat="1" outlineLevel="1" collapsed="1" x14ac:dyDescent="0.25">
      <c r="A82" s="27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0</v>
      </c>
      <c r="E82" s="1"/>
      <c r="F82" s="5">
        <f t="shared" si="29"/>
        <v>0</v>
      </c>
      <c r="G82" s="1"/>
      <c r="H82" s="1">
        <f>SUM(OSRRefH22_3x_0)</f>
        <v>1200</v>
      </c>
      <c r="I82" s="1"/>
      <c r="J82" s="5">
        <f t="shared" si="30"/>
        <v>6.1146496815286625E-2</v>
      </c>
      <c r="K82" s="1"/>
      <c r="L82" s="1">
        <f t="shared" si="31"/>
        <v>-1200</v>
      </c>
      <c r="M82" s="1"/>
      <c r="N82" s="5">
        <f t="shared" si="32"/>
        <v>-1</v>
      </c>
      <c r="O82" s="13"/>
      <c r="P82" s="1">
        <f>SUM(OSRRefP22_3x_0)</f>
        <v>0</v>
      </c>
      <c r="Q82" s="1"/>
      <c r="R82" s="5">
        <f t="shared" si="33"/>
        <v>0</v>
      </c>
      <c r="S82" s="1"/>
      <c r="T82" s="1">
        <f>SUM(OSRRefT22_3x_0)</f>
        <v>17600</v>
      </c>
      <c r="U82" s="1"/>
      <c r="V82" s="5">
        <f t="shared" si="34"/>
        <v>4.0046836595709441E-3</v>
      </c>
      <c r="W82" s="1"/>
      <c r="X82" s="1">
        <f t="shared" si="35"/>
        <v>-17600</v>
      </c>
      <c r="Y82" s="1"/>
      <c r="Z82" s="5">
        <f t="shared" si="36"/>
        <v>-1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7">
        <v>0</v>
      </c>
      <c r="E83" s="2"/>
      <c r="F83" s="6">
        <f t="shared" si="29"/>
        <v>0</v>
      </c>
      <c r="G83" s="2"/>
      <c r="H83" s="7">
        <v>1200</v>
      </c>
      <c r="I83" s="2"/>
      <c r="J83" s="6">
        <f t="shared" si="30"/>
        <v>6.1146496815286625E-2</v>
      </c>
      <c r="K83" s="2"/>
      <c r="L83" s="7">
        <f t="shared" si="31"/>
        <v>-1200</v>
      </c>
      <c r="M83" s="2"/>
      <c r="N83" s="6">
        <f t="shared" si="32"/>
        <v>-1</v>
      </c>
      <c r="O83" s="11"/>
      <c r="P83" s="7">
        <v>0</v>
      </c>
      <c r="Q83" s="2"/>
      <c r="R83" s="6">
        <f t="shared" si="33"/>
        <v>0</v>
      </c>
      <c r="S83" s="2"/>
      <c r="T83" s="7">
        <v>17600</v>
      </c>
      <c r="U83" s="2"/>
      <c r="V83" s="6">
        <f t="shared" si="34"/>
        <v>4.0046836595709441E-3</v>
      </c>
      <c r="W83" s="2"/>
      <c r="X83" s="7">
        <f t="shared" si="35"/>
        <v>-17600</v>
      </c>
      <c r="Y83" s="2"/>
      <c r="Z83" s="6">
        <f t="shared" si="36"/>
        <v>-1</v>
      </c>
    </row>
    <row r="84" spans="1:26" s="24" customFormat="1" hidden="1" outlineLevel="2" x14ac:dyDescent="0.25">
      <c r="A84" s="26"/>
      <c r="B84" s="11" t="str">
        <f>CONCATENATE("          ", "9175", " - ", "EARNED DISCOUNTS")</f>
        <v xml:space="preserve">          9175 - EARNED DISCOUNTS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0</v>
      </c>
      <c r="Q84" s="2"/>
      <c r="R84" s="6">
        <f t="shared" si="33"/>
        <v>0</v>
      </c>
      <c r="S84" s="2"/>
      <c r="T84" s="7"/>
      <c r="U84" s="2"/>
      <c r="V84" s="6">
        <f t="shared" si="34"/>
        <v>0</v>
      </c>
      <c r="W84" s="2"/>
      <c r="X84" s="7">
        <f t="shared" si="35"/>
        <v>0</v>
      </c>
      <c r="Y84" s="2"/>
      <c r="Z84" s="6">
        <f t="shared" si="36"/>
        <v>0</v>
      </c>
    </row>
    <row r="85" spans="1:26" s="25" customFormat="1" outlineLevel="1" collapsed="1" x14ac:dyDescent="0.25">
      <c r="A85" s="27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0</v>
      </c>
      <c r="E85" s="1"/>
      <c r="F85" s="5">
        <f t="shared" ref="F85:F91" si="37">IF(D$12=0,0,D85/D$12)</f>
        <v>0</v>
      </c>
      <c r="G85" s="1"/>
      <c r="H85" s="1">
        <f>SUM(OSRRefH22_4x_0)</f>
        <v>75</v>
      </c>
      <c r="I85" s="1"/>
      <c r="J85" s="5">
        <f t="shared" ref="J85:J91" si="38">IF(H$12=0,0,H85/H$12)</f>
        <v>3.821656050955414E-3</v>
      </c>
      <c r="K85" s="1"/>
      <c r="L85" s="1">
        <f t="shared" ref="L85:L91" si="39">+D85-H85</f>
        <v>-75</v>
      </c>
      <c r="M85" s="1"/>
      <c r="N85" s="5">
        <f t="shared" ref="N85:N91" si="40">IF(H85=0,0,L85/H85)</f>
        <v>-1</v>
      </c>
      <c r="O85" s="13"/>
      <c r="P85" s="1">
        <f>SUM(OSRRefP22_4x_0)</f>
        <v>107.7</v>
      </c>
      <c r="Q85" s="1"/>
      <c r="R85" s="5">
        <f t="shared" ref="R85:R91" si="41">IF(P$12=0,0,P85/P$12)</f>
        <v>4.0192018281643652E-5</v>
      </c>
      <c r="S85" s="1"/>
      <c r="T85" s="1">
        <f>SUM(OSRRefT22_4x_0)</f>
        <v>750</v>
      </c>
      <c r="U85" s="1"/>
      <c r="V85" s="5">
        <f t="shared" ref="V85:V91" si="42">IF(T$12=0,0,T85/T$12)</f>
        <v>1.706541332203527E-4</v>
      </c>
      <c r="W85" s="1"/>
      <c r="X85" s="1">
        <f t="shared" ref="X85:X91" si="43">+P85-T85</f>
        <v>-642.29999999999995</v>
      </c>
      <c r="Y85" s="1"/>
      <c r="Z85" s="5">
        <f t="shared" ref="Z85:Z91" si="44">IF(T85=0,0,X85/T85)</f>
        <v>-0.85639999999999994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7"/>
      <c r="E86" s="2"/>
      <c r="F86" s="6">
        <f t="shared" si="37"/>
        <v>0</v>
      </c>
      <c r="G86" s="2"/>
      <c r="H86" s="7">
        <v>75</v>
      </c>
      <c r="I86" s="2"/>
      <c r="J86" s="6">
        <f t="shared" si="38"/>
        <v>3.821656050955414E-3</v>
      </c>
      <c r="K86" s="2"/>
      <c r="L86" s="7">
        <f t="shared" si="39"/>
        <v>-75</v>
      </c>
      <c r="M86" s="2"/>
      <c r="N86" s="6">
        <f t="shared" si="40"/>
        <v>-1</v>
      </c>
      <c r="O86" s="11"/>
      <c r="P86" s="7">
        <v>107.7</v>
      </c>
      <c r="Q86" s="2"/>
      <c r="R86" s="6">
        <f t="shared" si="41"/>
        <v>4.0192018281643652E-5</v>
      </c>
      <c r="S86" s="2"/>
      <c r="T86" s="7">
        <v>750</v>
      </c>
      <c r="U86" s="2"/>
      <c r="V86" s="6">
        <f t="shared" si="42"/>
        <v>1.706541332203527E-4</v>
      </c>
      <c r="W86" s="2"/>
      <c r="X86" s="7">
        <f t="shared" si="43"/>
        <v>-642.29999999999995</v>
      </c>
      <c r="Y86" s="2"/>
      <c r="Z86" s="6">
        <f t="shared" si="44"/>
        <v>-0.85639999999999994</v>
      </c>
    </row>
    <row r="87" spans="1:26" s="25" customFormat="1" outlineLevel="1" collapsed="1" x14ac:dyDescent="0.25">
      <c r="A87" s="27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91.26</v>
      </c>
      <c r="E87" s="1"/>
      <c r="F87" s="5">
        <f t="shared" si="37"/>
        <v>3.5577380021854792E-3</v>
      </c>
      <c r="G87" s="1"/>
      <c r="H87" s="1">
        <f>SUM(OSRRefH22_5x_0)</f>
        <v>100</v>
      </c>
      <c r="I87" s="1"/>
      <c r="J87" s="5">
        <f t="shared" si="38"/>
        <v>5.0955414012738851E-3</v>
      </c>
      <c r="K87" s="1"/>
      <c r="L87" s="1">
        <f t="shared" si="39"/>
        <v>-8.7399999999999949</v>
      </c>
      <c r="M87" s="1"/>
      <c r="N87" s="5">
        <f t="shared" si="40"/>
        <v>-8.739999999999995E-2</v>
      </c>
      <c r="O87" s="13"/>
      <c r="P87" s="1">
        <f>SUM(OSRRefP22_5x_0)</f>
        <v>912.6</v>
      </c>
      <c r="Q87" s="1"/>
      <c r="R87" s="5">
        <f t="shared" si="41"/>
        <v>3.4056857830852365E-4</v>
      </c>
      <c r="S87" s="1"/>
      <c r="T87" s="1">
        <f>SUM(OSRRefT22_5x_0)</f>
        <v>1000</v>
      </c>
      <c r="U87" s="1"/>
      <c r="V87" s="5">
        <f t="shared" si="42"/>
        <v>2.2753884429380363E-4</v>
      </c>
      <c r="W87" s="1"/>
      <c r="X87" s="1">
        <f t="shared" si="43"/>
        <v>-87.399999999999977</v>
      </c>
      <c r="Y87" s="1"/>
      <c r="Z87" s="5">
        <f t="shared" si="44"/>
        <v>-8.7399999999999978E-2</v>
      </c>
    </row>
    <row r="88" spans="1:26" s="24" customFormat="1" hidden="1" outlineLevel="2" x14ac:dyDescent="0.25">
      <c r="A88" s="26"/>
      <c r="B88" s="11" t="str">
        <f>CONCATENATE("          ", "6351", " - ", "EQUIPMENT RENTAL")</f>
        <v xml:space="preserve">          6351 - EQUIPMENT RENTAL</v>
      </c>
      <c r="C88" s="11"/>
      <c r="D88" s="7">
        <v>91.26</v>
      </c>
      <c r="E88" s="2"/>
      <c r="F88" s="6">
        <f t="shared" si="37"/>
        <v>3.5577380021854792E-3</v>
      </c>
      <c r="G88" s="2"/>
      <c r="H88" s="7">
        <v>100</v>
      </c>
      <c r="I88" s="2"/>
      <c r="J88" s="6">
        <f t="shared" si="38"/>
        <v>5.0955414012738851E-3</v>
      </c>
      <c r="K88" s="2"/>
      <c r="L88" s="7">
        <f t="shared" si="39"/>
        <v>-8.7399999999999949</v>
      </c>
      <c r="M88" s="2"/>
      <c r="N88" s="6">
        <f t="shared" si="40"/>
        <v>-8.739999999999995E-2</v>
      </c>
      <c r="O88" s="11"/>
      <c r="P88" s="7">
        <v>912.6</v>
      </c>
      <c r="Q88" s="2"/>
      <c r="R88" s="6">
        <f t="shared" si="41"/>
        <v>3.4056857830852365E-4</v>
      </c>
      <c r="S88" s="2"/>
      <c r="T88" s="7">
        <v>1000</v>
      </c>
      <c r="U88" s="2"/>
      <c r="V88" s="6">
        <f t="shared" si="42"/>
        <v>2.2753884429380363E-4</v>
      </c>
      <c r="W88" s="2"/>
      <c r="X88" s="7">
        <f t="shared" si="43"/>
        <v>-87.399999999999977</v>
      </c>
      <c r="Y88" s="2"/>
      <c r="Z88" s="6">
        <f t="shared" si="44"/>
        <v>-8.7399999999999978E-2</v>
      </c>
    </row>
    <row r="89" spans="1:26" s="25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6096.13</v>
      </c>
      <c r="E89" s="1"/>
      <c r="F89" s="5">
        <f t="shared" si="37"/>
        <v>0.2376554171297717</v>
      </c>
      <c r="G89" s="1"/>
      <c r="H89" s="1">
        <f>SUM(OSRRefH22_6x_0)</f>
        <v>2300</v>
      </c>
      <c r="I89" s="1"/>
      <c r="J89" s="5">
        <f t="shared" si="38"/>
        <v>0.11719745222929936</v>
      </c>
      <c r="K89" s="1"/>
      <c r="L89" s="1">
        <f t="shared" si="39"/>
        <v>3796.13</v>
      </c>
      <c r="M89" s="1"/>
      <c r="N89" s="5">
        <f t="shared" si="40"/>
        <v>1.6504913043478262</v>
      </c>
      <c r="O89" s="13"/>
      <c r="P89" s="1">
        <f>SUM(OSRRefP22_6x_0)</f>
        <v>23777.99</v>
      </c>
      <c r="Q89" s="1"/>
      <c r="R89" s="5">
        <f t="shared" si="41"/>
        <v>8.8735878252622098E-3</v>
      </c>
      <c r="S89" s="1"/>
      <c r="T89" s="1">
        <f>SUM(OSRRefT22_6x_0)</f>
        <v>23000</v>
      </c>
      <c r="U89" s="1"/>
      <c r="V89" s="5">
        <f t="shared" si="42"/>
        <v>5.2333934187574829E-3</v>
      </c>
      <c r="W89" s="1"/>
      <c r="X89" s="1">
        <f t="shared" si="43"/>
        <v>777.9900000000016</v>
      </c>
      <c r="Y89" s="1"/>
      <c r="Z89" s="5">
        <f t="shared" si="44"/>
        <v>3.3825652173913111E-2</v>
      </c>
    </row>
    <row r="90" spans="1:26" s="24" customFormat="1" hidden="1" outlineLevel="2" x14ac:dyDescent="0.25">
      <c r="A90" s="26"/>
      <c r="B90" s="11" t="str">
        <f>CONCATENATE("          ", "6305", " - ", "FREIGHT OUT")</f>
        <v xml:space="preserve">          6305 - FREIGHT OUT</v>
      </c>
      <c r="C90" s="11"/>
      <c r="D90" s="7">
        <v>6096.13</v>
      </c>
      <c r="E90" s="2"/>
      <c r="F90" s="6">
        <f t="shared" si="37"/>
        <v>0.2376554171297717</v>
      </c>
      <c r="G90" s="2"/>
      <c r="H90" s="7">
        <v>2300</v>
      </c>
      <c r="I90" s="2"/>
      <c r="J90" s="6">
        <f t="shared" si="38"/>
        <v>0.11719745222929936</v>
      </c>
      <c r="K90" s="2"/>
      <c r="L90" s="7">
        <f t="shared" si="39"/>
        <v>3796.13</v>
      </c>
      <c r="M90" s="2"/>
      <c r="N90" s="6">
        <f t="shared" si="40"/>
        <v>1.6504913043478262</v>
      </c>
      <c r="O90" s="11"/>
      <c r="P90" s="7">
        <v>23777.49</v>
      </c>
      <c r="Q90" s="2"/>
      <c r="R90" s="6">
        <f t="shared" si="41"/>
        <v>8.8734012327910793E-3</v>
      </c>
      <c r="S90" s="2"/>
      <c r="T90" s="7">
        <v>23000</v>
      </c>
      <c r="U90" s="2"/>
      <c r="V90" s="6">
        <f t="shared" si="42"/>
        <v>5.2333934187574829E-3</v>
      </c>
      <c r="W90" s="2"/>
      <c r="X90" s="7">
        <f t="shared" si="43"/>
        <v>777.4900000000016</v>
      </c>
      <c r="Y90" s="2"/>
      <c r="Z90" s="6">
        <f t="shared" si="44"/>
        <v>3.380391304347833E-2</v>
      </c>
    </row>
    <row r="91" spans="1:26" s="24" customFormat="1" hidden="1" outlineLevel="2" x14ac:dyDescent="0.25">
      <c r="A91" s="26"/>
      <c r="B91" s="11" t="str">
        <f>CONCATENATE("          ", "6307", " - ", "POSTAGE")</f>
        <v xml:space="preserve">          6307 - POSTAGE</v>
      </c>
      <c r="C91" s="11"/>
      <c r="D91" s="7"/>
      <c r="E91" s="2"/>
      <c r="F91" s="6">
        <f t="shared" si="37"/>
        <v>0</v>
      </c>
      <c r="G91" s="2"/>
      <c r="H91" s="7"/>
      <c r="I91" s="2"/>
      <c r="J91" s="6">
        <f t="shared" si="38"/>
        <v>0</v>
      </c>
      <c r="K91" s="2"/>
      <c r="L91" s="7">
        <f t="shared" si="39"/>
        <v>0</v>
      </c>
      <c r="M91" s="2"/>
      <c r="N91" s="6">
        <f t="shared" si="40"/>
        <v>0</v>
      </c>
      <c r="O91" s="11"/>
      <c r="P91" s="7">
        <v>0.5</v>
      </c>
      <c r="Q91" s="2"/>
      <c r="R91" s="6">
        <f t="shared" si="41"/>
        <v>1.8659247113112189E-7</v>
      </c>
      <c r="S91" s="2"/>
      <c r="T91" s="7"/>
      <c r="U91" s="2"/>
      <c r="V91" s="6">
        <f t="shared" si="42"/>
        <v>0</v>
      </c>
      <c r="W91" s="2"/>
      <c r="X91" s="7">
        <f t="shared" si="43"/>
        <v>0.5</v>
      </c>
      <c r="Y91" s="2"/>
      <c r="Z91" s="6">
        <f t="shared" si="44"/>
        <v>0</v>
      </c>
    </row>
    <row r="92" spans="1:26" s="25" customFormat="1" outlineLevel="1" collapsed="1" x14ac:dyDescent="0.25">
      <c r="A92" s="27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-0.99</v>
      </c>
      <c r="E92" s="1"/>
      <c r="F92" s="5">
        <f t="shared" ref="F92:F94" si="45">IF(D$12=0,0,D92/D$12)</f>
        <v>-3.8594790950730052E-5</v>
      </c>
      <c r="G92" s="1"/>
      <c r="H92" s="1">
        <f>SUM(OSRRefH22_7x_0)</f>
        <v>0</v>
      </c>
      <c r="I92" s="1"/>
      <c r="J92" s="5">
        <f t="shared" ref="J92:J94" si="46">IF(H$12=0,0,H92/H$12)</f>
        <v>0</v>
      </c>
      <c r="K92" s="1"/>
      <c r="L92" s="1">
        <f t="shared" ref="L92:L94" si="47">+D92-H92</f>
        <v>-0.99</v>
      </c>
      <c r="M92" s="1"/>
      <c r="N92" s="5">
        <f t="shared" ref="N92:N94" si="48">IF(H92=0,0,L92/H92)</f>
        <v>0</v>
      </c>
      <c r="O92" s="13"/>
      <c r="P92" s="1">
        <f>SUM(OSRRefP22_7x_0)</f>
        <v>-1043.02</v>
      </c>
      <c r="Q92" s="1"/>
      <c r="R92" s="5">
        <f t="shared" ref="R92:R94" si="49">IF(P$12=0,0,P92/P$12)</f>
        <v>-3.8923935847836547E-4</v>
      </c>
      <c r="S92" s="1"/>
      <c r="T92" s="1">
        <f>SUM(OSRRefT22_7x_0)</f>
        <v>1500</v>
      </c>
      <c r="U92" s="1"/>
      <c r="V92" s="5">
        <f t="shared" ref="V92:V94" si="50">IF(T$12=0,0,T92/T$12)</f>
        <v>3.413082664407054E-4</v>
      </c>
      <c r="W92" s="1"/>
      <c r="X92" s="1">
        <f t="shared" ref="X92:X94" si="51">+P92-T92</f>
        <v>-2543.02</v>
      </c>
      <c r="Y92" s="1"/>
      <c r="Z92" s="5">
        <f t="shared" ref="Z92:Z94" si="52">IF(T92=0,0,X92/T92)</f>
        <v>-1.6953466666666666</v>
      </c>
    </row>
    <row r="93" spans="1:26" s="24" customFormat="1" hidden="1" outlineLevel="2" x14ac:dyDescent="0.25">
      <c r="A93" s="26"/>
      <c r="B93" s="11" t="str">
        <f>CONCATENATE("          ", "6269", " - ", "ENTERTAINMENT")</f>
        <v xml:space="preserve">          6269 - ENTERTAINMENT</v>
      </c>
      <c r="C93" s="11"/>
      <c r="D93" s="7"/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/>
      <c r="Q93" s="2"/>
      <c r="R93" s="6">
        <f t="shared" si="49"/>
        <v>0</v>
      </c>
      <c r="S93" s="2"/>
      <c r="T93" s="7">
        <v>1500</v>
      </c>
      <c r="U93" s="2"/>
      <c r="V93" s="6">
        <f t="shared" si="50"/>
        <v>3.413082664407054E-4</v>
      </c>
      <c r="W93" s="2"/>
      <c r="X93" s="7">
        <f t="shared" si="51"/>
        <v>-1500</v>
      </c>
      <c r="Y93" s="2"/>
      <c r="Z93" s="6">
        <f t="shared" si="52"/>
        <v>-1</v>
      </c>
    </row>
    <row r="94" spans="1:26" s="24" customFormat="1" hidden="1" outlineLevel="2" x14ac:dyDescent="0.25">
      <c r="A94" s="26"/>
      <c r="B94" s="11" t="str">
        <f>CONCATENATE("          ", "6279", " - ", "GENERAL EXPENSE")</f>
        <v xml:space="preserve">          6279 - GENERAL EXPENSE</v>
      </c>
      <c r="C94" s="11"/>
      <c r="D94" s="7">
        <v>-0.99</v>
      </c>
      <c r="E94" s="2"/>
      <c r="F94" s="6">
        <f t="shared" si="45"/>
        <v>-3.8594790950730052E-5</v>
      </c>
      <c r="G94" s="2"/>
      <c r="H94" s="7"/>
      <c r="I94" s="2"/>
      <c r="J94" s="6">
        <f t="shared" si="46"/>
        <v>0</v>
      </c>
      <c r="K94" s="2"/>
      <c r="L94" s="7">
        <f t="shared" si="47"/>
        <v>-0.99</v>
      </c>
      <c r="M94" s="2"/>
      <c r="N94" s="6">
        <f t="shared" si="48"/>
        <v>0</v>
      </c>
      <c r="O94" s="11"/>
      <c r="P94" s="7">
        <v>-1043.02</v>
      </c>
      <c r="Q94" s="2"/>
      <c r="R94" s="6">
        <f t="shared" si="49"/>
        <v>-3.8923935847836547E-4</v>
      </c>
      <c r="S94" s="2"/>
      <c r="T94" s="7"/>
      <c r="U94" s="2"/>
      <c r="V94" s="6">
        <f t="shared" si="50"/>
        <v>0</v>
      </c>
      <c r="W94" s="2"/>
      <c r="X94" s="7">
        <f t="shared" si="51"/>
        <v>-1043.02</v>
      </c>
      <c r="Y94" s="2"/>
      <c r="Z94" s="6">
        <f t="shared" si="52"/>
        <v>0</v>
      </c>
    </row>
    <row r="95" spans="1:26" s="25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ref="F95:F99" si="53">IF(D$12=0,0,D95/D$12)</f>
        <v>3.8984637323969749E-2</v>
      </c>
      <c r="G95" s="1"/>
      <c r="H95" s="1">
        <f>SUM(OSRRefH22_8x_0)</f>
        <v>1000</v>
      </c>
      <c r="I95" s="1"/>
      <c r="J95" s="5">
        <f t="shared" ref="J95:J99" si="54">IF(H$12=0,0,H95/H$12)</f>
        <v>5.0955414012738856E-2</v>
      </c>
      <c r="K95" s="1"/>
      <c r="L95" s="1">
        <f t="shared" ref="L95:L99" si="55">+D95-H95</f>
        <v>0</v>
      </c>
      <c r="M95" s="1"/>
      <c r="N95" s="5">
        <f t="shared" ref="N95:N99" si="56">IF(H95=0,0,L95/H95)</f>
        <v>0</v>
      </c>
      <c r="O95" s="13"/>
      <c r="P95" s="1">
        <f>SUM(OSRRefP22_8x_0)</f>
        <v>15000</v>
      </c>
      <c r="Q95" s="1"/>
      <c r="R95" s="5">
        <f t="shared" ref="R95:R99" si="57">IF(P$12=0,0,P95/P$12)</f>
        <v>5.5977741339336565E-3</v>
      </c>
      <c r="S95" s="1"/>
      <c r="T95" s="1">
        <f>SUM(OSRRefT22_8x_0)</f>
        <v>15000</v>
      </c>
      <c r="U95" s="1"/>
      <c r="V95" s="5">
        <f t="shared" ref="V95:V99" si="58">IF(T$12=0,0,T95/T$12)</f>
        <v>3.4130826644070541E-3</v>
      </c>
      <c r="W95" s="1"/>
      <c r="X95" s="1">
        <f t="shared" ref="X95:X99" si="59">+P95-T95</f>
        <v>0</v>
      </c>
      <c r="Y95" s="1"/>
      <c r="Z95" s="5">
        <f t="shared" ref="Z95:Z99" si="60">IF(T95=0,0,X95/T95)</f>
        <v>0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7">
        <v>1000</v>
      </c>
      <c r="E96" s="2"/>
      <c r="F96" s="6">
        <f t="shared" si="53"/>
        <v>3.8984637323969749E-2</v>
      </c>
      <c r="G96" s="2"/>
      <c r="H96" s="7">
        <v>1000</v>
      </c>
      <c r="I96" s="2"/>
      <c r="J96" s="6">
        <f t="shared" si="54"/>
        <v>5.0955414012738856E-2</v>
      </c>
      <c r="K96" s="2"/>
      <c r="L96" s="7">
        <f t="shared" si="55"/>
        <v>0</v>
      </c>
      <c r="M96" s="2"/>
      <c r="N96" s="6">
        <f t="shared" si="56"/>
        <v>0</v>
      </c>
      <c r="O96" s="11"/>
      <c r="P96" s="7">
        <v>15000</v>
      </c>
      <c r="Q96" s="2"/>
      <c r="R96" s="6">
        <f t="shared" si="57"/>
        <v>5.5977741339336565E-3</v>
      </c>
      <c r="S96" s="2"/>
      <c r="T96" s="7">
        <v>15000</v>
      </c>
      <c r="U96" s="2"/>
      <c r="V96" s="6">
        <f t="shared" si="58"/>
        <v>3.4130826644070541E-3</v>
      </c>
      <c r="W96" s="2"/>
      <c r="X96" s="7">
        <f t="shared" si="59"/>
        <v>0</v>
      </c>
      <c r="Y96" s="2"/>
      <c r="Z96" s="6">
        <f t="shared" si="60"/>
        <v>0</v>
      </c>
    </row>
    <row r="97" spans="1:26" s="25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254.93</v>
      </c>
      <c r="E97" s="1"/>
      <c r="F97" s="5">
        <f t="shared" si="53"/>
        <v>9.9383535929996082E-3</v>
      </c>
      <c r="G97" s="1"/>
      <c r="H97" s="1">
        <f>SUM(OSRRefH22_9x_0)</f>
        <v>140</v>
      </c>
      <c r="I97" s="1"/>
      <c r="J97" s="5">
        <f t="shared" si="54"/>
        <v>7.1337579617834395E-3</v>
      </c>
      <c r="K97" s="1"/>
      <c r="L97" s="1">
        <f t="shared" si="55"/>
        <v>114.93</v>
      </c>
      <c r="M97" s="1"/>
      <c r="N97" s="5">
        <f t="shared" si="56"/>
        <v>0.82092857142857145</v>
      </c>
      <c r="O97" s="13"/>
      <c r="P97" s="1">
        <f>SUM(OSRRefP22_9x_0)</f>
        <v>462.25</v>
      </c>
      <c r="Q97" s="1"/>
      <c r="R97" s="5">
        <f t="shared" si="57"/>
        <v>1.7250473956072218E-4</v>
      </c>
      <c r="S97" s="1"/>
      <c r="T97" s="1">
        <f>SUM(OSRRefT22_9x_0)</f>
        <v>1400</v>
      </c>
      <c r="U97" s="1"/>
      <c r="V97" s="5">
        <f t="shared" si="58"/>
        <v>3.1855438201132505E-4</v>
      </c>
      <c r="W97" s="1"/>
      <c r="X97" s="1">
        <f t="shared" si="59"/>
        <v>-937.75</v>
      </c>
      <c r="Y97" s="1"/>
      <c r="Z97" s="5">
        <f t="shared" si="60"/>
        <v>-0.66982142857142857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7">
        <v>22.53</v>
      </c>
      <c r="E98" s="2"/>
      <c r="F98" s="6">
        <f t="shared" si="53"/>
        <v>8.783238789090384E-4</v>
      </c>
      <c r="G98" s="2"/>
      <c r="H98" s="7">
        <v>40</v>
      </c>
      <c r="I98" s="2"/>
      <c r="J98" s="6">
        <f t="shared" si="54"/>
        <v>2.0382165605095539E-3</v>
      </c>
      <c r="K98" s="2"/>
      <c r="L98" s="7">
        <f t="shared" si="55"/>
        <v>-17.47</v>
      </c>
      <c r="M98" s="2"/>
      <c r="N98" s="6">
        <f t="shared" si="56"/>
        <v>-0.43674999999999997</v>
      </c>
      <c r="O98" s="11"/>
      <c r="P98" s="7">
        <v>204.74</v>
      </c>
      <c r="Q98" s="2"/>
      <c r="R98" s="6">
        <f t="shared" si="57"/>
        <v>7.6405885078771786E-5</v>
      </c>
      <c r="S98" s="2"/>
      <c r="T98" s="7">
        <v>400</v>
      </c>
      <c r="U98" s="2"/>
      <c r="V98" s="6">
        <f t="shared" si="58"/>
        <v>9.1015537717521451E-5</v>
      </c>
      <c r="W98" s="2"/>
      <c r="X98" s="7">
        <f t="shared" si="59"/>
        <v>-195.26</v>
      </c>
      <c r="Y98" s="2"/>
      <c r="Z98" s="6">
        <f t="shared" si="60"/>
        <v>-0.48814999999999997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7">
        <v>232.4</v>
      </c>
      <c r="E99" s="2"/>
      <c r="F99" s="6">
        <f t="shared" si="53"/>
        <v>9.0600297140905686E-3</v>
      </c>
      <c r="G99" s="2"/>
      <c r="H99" s="7">
        <v>100</v>
      </c>
      <c r="I99" s="2"/>
      <c r="J99" s="6">
        <f t="shared" si="54"/>
        <v>5.0955414012738851E-3</v>
      </c>
      <c r="K99" s="2"/>
      <c r="L99" s="7">
        <f t="shared" si="55"/>
        <v>132.4</v>
      </c>
      <c r="M99" s="2"/>
      <c r="N99" s="6">
        <f t="shared" si="56"/>
        <v>1.3240000000000001</v>
      </c>
      <c r="O99" s="11"/>
      <c r="P99" s="7">
        <v>257.51</v>
      </c>
      <c r="Q99" s="2"/>
      <c r="R99" s="6">
        <f t="shared" si="57"/>
        <v>9.6098854481950393E-5</v>
      </c>
      <c r="S99" s="2"/>
      <c r="T99" s="7">
        <v>1000</v>
      </c>
      <c r="U99" s="2"/>
      <c r="V99" s="6">
        <f t="shared" si="58"/>
        <v>2.2753884429380363E-4</v>
      </c>
      <c r="W99" s="2"/>
      <c r="X99" s="7">
        <f t="shared" si="59"/>
        <v>-742.49</v>
      </c>
      <c r="Y99" s="2"/>
      <c r="Z99" s="6">
        <f t="shared" si="60"/>
        <v>-0.74248999999999998</v>
      </c>
    </row>
    <row r="100" spans="1:26" s="25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328.71</v>
      </c>
      <c r="E100" s="1"/>
      <c r="F100" s="5">
        <f t="shared" ref="F100:F102" si="61">IF(D$12=0,0,D100/D$12)</f>
        <v>1.2814640134762094E-2</v>
      </c>
      <c r="G100" s="1"/>
      <c r="H100" s="1">
        <f>SUM(OSRRefH22_10x_0)</f>
        <v>2100</v>
      </c>
      <c r="I100" s="1"/>
      <c r="J100" s="5">
        <f t="shared" ref="J100:J102" si="62">IF(H$12=0,0,H100/H$12)</f>
        <v>0.1070063694267516</v>
      </c>
      <c r="K100" s="1"/>
      <c r="L100" s="1">
        <f t="shared" ref="L100:L102" si="63">+D100-H100</f>
        <v>-1771.29</v>
      </c>
      <c r="M100" s="1"/>
      <c r="N100" s="5">
        <f t="shared" ref="N100:N102" si="64">IF(H100=0,0,L100/H100)</f>
        <v>-0.84347142857142854</v>
      </c>
      <c r="O100" s="13"/>
      <c r="P100" s="1">
        <f>SUM(OSRRefP22_10x_0)</f>
        <v>4655.34</v>
      </c>
      <c r="Q100" s="1"/>
      <c r="R100" s="5">
        <f t="shared" ref="R100:R102" si="65">IF(P$12=0,0,P100/P$12)</f>
        <v>1.7373027891111139E-3</v>
      </c>
      <c r="S100" s="1"/>
      <c r="T100" s="1">
        <f>SUM(OSRRefT22_10x_0)</f>
        <v>4800</v>
      </c>
      <c r="U100" s="1"/>
      <c r="V100" s="5">
        <f t="shared" ref="V100:V102" si="66">IF(T$12=0,0,T100/T$12)</f>
        <v>1.0921864526102574E-3</v>
      </c>
      <c r="W100" s="1"/>
      <c r="X100" s="1">
        <f t="shared" ref="X100:X102" si="67">+P100-T100</f>
        <v>-144.65999999999985</v>
      </c>
      <c r="Y100" s="1"/>
      <c r="Z100" s="5">
        <f t="shared" ref="Z100:Z102" si="68">IF(T100=0,0,X100/T100)</f>
        <v>-3.013749999999997E-2</v>
      </c>
    </row>
    <row r="101" spans="1:26" s="24" customFormat="1" hidden="1" outlineLevel="2" x14ac:dyDescent="0.25">
      <c r="A101" s="26"/>
      <c r="B101" s="11" t="str">
        <f>CONCATENATE("          ", "6258", " - ", "MEMBERSHIP DUES")</f>
        <v xml:space="preserve">          6258 - MEMBERSHIP DUES</v>
      </c>
      <c r="C101" s="11"/>
      <c r="D101" s="7">
        <v>328.71</v>
      </c>
      <c r="E101" s="2"/>
      <c r="F101" s="6">
        <f t="shared" si="61"/>
        <v>1.2814640134762094E-2</v>
      </c>
      <c r="G101" s="2"/>
      <c r="H101" s="7">
        <v>300</v>
      </c>
      <c r="I101" s="2"/>
      <c r="J101" s="6">
        <f t="shared" si="62"/>
        <v>1.5286624203821656E-2</v>
      </c>
      <c r="K101" s="2"/>
      <c r="L101" s="7">
        <f t="shared" si="63"/>
        <v>28.70999999999998</v>
      </c>
      <c r="M101" s="2"/>
      <c r="N101" s="6">
        <f t="shared" si="64"/>
        <v>9.5699999999999938E-2</v>
      </c>
      <c r="O101" s="11"/>
      <c r="P101" s="7">
        <v>2803.26</v>
      </c>
      <c r="Q101" s="2"/>
      <c r="R101" s="6">
        <f t="shared" si="65"/>
        <v>1.0461344212460576E-3</v>
      </c>
      <c r="S101" s="2"/>
      <c r="T101" s="7">
        <v>3000</v>
      </c>
      <c r="U101" s="2"/>
      <c r="V101" s="6">
        <f t="shared" si="66"/>
        <v>6.826165328814108E-4</v>
      </c>
      <c r="W101" s="2"/>
      <c r="X101" s="7">
        <f t="shared" si="67"/>
        <v>-196.73999999999978</v>
      </c>
      <c r="Y101" s="2"/>
      <c r="Z101" s="6">
        <f t="shared" si="68"/>
        <v>-6.557999999999993E-2</v>
      </c>
    </row>
    <row r="102" spans="1:26" s="24" customFormat="1" hidden="1" outlineLevel="2" x14ac:dyDescent="0.25">
      <c r="A102" s="26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61"/>
        <v>0</v>
      </c>
      <c r="G102" s="2"/>
      <c r="H102" s="7">
        <v>1800</v>
      </c>
      <c r="I102" s="2"/>
      <c r="J102" s="6">
        <f t="shared" si="62"/>
        <v>9.171974522292993E-2</v>
      </c>
      <c r="K102" s="2"/>
      <c r="L102" s="7">
        <f t="shared" si="63"/>
        <v>-1800</v>
      </c>
      <c r="M102" s="2"/>
      <c r="N102" s="6">
        <f t="shared" si="64"/>
        <v>-1</v>
      </c>
      <c r="O102" s="11"/>
      <c r="P102" s="7">
        <v>1852.08</v>
      </c>
      <c r="Q102" s="2"/>
      <c r="R102" s="6">
        <f t="shared" si="65"/>
        <v>6.9116836786505638E-4</v>
      </c>
      <c r="S102" s="2"/>
      <c r="T102" s="7">
        <v>1800</v>
      </c>
      <c r="U102" s="2"/>
      <c r="V102" s="6">
        <f t="shared" si="66"/>
        <v>4.095699197288465E-4</v>
      </c>
      <c r="W102" s="2"/>
      <c r="X102" s="7">
        <f t="shared" si="67"/>
        <v>52.079999999999927</v>
      </c>
      <c r="Y102" s="2"/>
      <c r="Z102" s="6">
        <f t="shared" si="68"/>
        <v>2.8933333333333294E-2</v>
      </c>
    </row>
    <row r="103" spans="1:26" s="25" customFormat="1" outlineLevel="1" collapsed="1" x14ac:dyDescent="0.25">
      <c r="A103" s="27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362.77</v>
      </c>
      <c r="E103" s="1"/>
      <c r="F103" s="5">
        <f t="shared" ref="F103:F106" si="69">IF(D$12=0,0,D103/D$12)</f>
        <v>1.4142456882016504E-2</v>
      </c>
      <c r="G103" s="1"/>
      <c r="H103" s="1">
        <f>SUM(OSRRefH22_11x_0)</f>
        <v>800</v>
      </c>
      <c r="I103" s="1"/>
      <c r="J103" s="5">
        <f t="shared" ref="J103:J106" si="70">IF(H$12=0,0,H103/H$12)</f>
        <v>4.0764331210191081E-2</v>
      </c>
      <c r="K103" s="1"/>
      <c r="L103" s="1">
        <f t="shared" ref="L103:L106" si="71">+D103-H103</f>
        <v>-437.23</v>
      </c>
      <c r="M103" s="1"/>
      <c r="N103" s="5">
        <f t="shared" ref="N103:N106" si="72">IF(H103=0,0,L103/H103)</f>
        <v>-0.54653750000000001</v>
      </c>
      <c r="O103" s="13"/>
      <c r="P103" s="1">
        <f>SUM(OSRRefP22_11x_0)</f>
        <v>5373.43</v>
      </c>
      <c r="Q103" s="1"/>
      <c r="R103" s="5">
        <f t="shared" ref="R103:R106" si="73">IF(P$12=0,0,P103/P$12)</f>
        <v>2.0052831643002085E-3</v>
      </c>
      <c r="S103" s="1"/>
      <c r="T103" s="1">
        <f>SUM(OSRRefT22_11x_0)</f>
        <v>12100</v>
      </c>
      <c r="U103" s="1"/>
      <c r="V103" s="5">
        <f t="shared" ref="V103:V106" si="74">IF(T$12=0,0,T103/T$12)</f>
        <v>2.7532200159550236E-3</v>
      </c>
      <c r="W103" s="1"/>
      <c r="X103" s="1">
        <f t="shared" ref="X103:X106" si="75">+P103-T103</f>
        <v>-6726.57</v>
      </c>
      <c r="Y103" s="1"/>
      <c r="Z103" s="5">
        <f t="shared" ref="Z103:Z106" si="76">IF(T103=0,0,X103/T103)</f>
        <v>-0.55591487603305778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7">
        <v>151.37</v>
      </c>
      <c r="E104" s="2"/>
      <c r="F104" s="6">
        <f t="shared" si="69"/>
        <v>5.901104551729301E-3</v>
      </c>
      <c r="G104" s="2"/>
      <c r="H104" s="7">
        <v>300</v>
      </c>
      <c r="I104" s="2"/>
      <c r="J104" s="6">
        <f t="shared" si="70"/>
        <v>1.5286624203821656E-2</v>
      </c>
      <c r="K104" s="2"/>
      <c r="L104" s="7">
        <f t="shared" si="71"/>
        <v>-148.63</v>
      </c>
      <c r="M104" s="2"/>
      <c r="N104" s="6">
        <f t="shared" si="72"/>
        <v>-0.49543333333333334</v>
      </c>
      <c r="O104" s="11"/>
      <c r="P104" s="7">
        <v>1566.67</v>
      </c>
      <c r="Q104" s="2"/>
      <c r="R104" s="6">
        <f t="shared" si="73"/>
        <v>5.8465765349398943E-4</v>
      </c>
      <c r="S104" s="2"/>
      <c r="T104" s="7">
        <v>4200</v>
      </c>
      <c r="U104" s="2"/>
      <c r="V104" s="6">
        <f t="shared" si="74"/>
        <v>9.5566314603397521E-4</v>
      </c>
      <c r="W104" s="2"/>
      <c r="X104" s="7">
        <f t="shared" si="75"/>
        <v>-2633.33</v>
      </c>
      <c r="Y104" s="2"/>
      <c r="Z104" s="6">
        <f t="shared" si="76"/>
        <v>-0.62698333333333334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9"/>
        <v>0</v>
      </c>
      <c r="G105" s="2"/>
      <c r="H105" s="7">
        <v>100</v>
      </c>
      <c r="I105" s="2"/>
      <c r="J105" s="6">
        <f t="shared" si="70"/>
        <v>5.0955414012738851E-3</v>
      </c>
      <c r="K105" s="2"/>
      <c r="L105" s="7">
        <f t="shared" si="71"/>
        <v>-100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2000</v>
      </c>
      <c r="U105" s="2"/>
      <c r="V105" s="6">
        <f t="shared" si="74"/>
        <v>4.5507768858760726E-4</v>
      </c>
      <c r="W105" s="2"/>
      <c r="X105" s="7">
        <f t="shared" si="75"/>
        <v>-2000</v>
      </c>
      <c r="Y105" s="2"/>
      <c r="Z105" s="6">
        <f t="shared" si="76"/>
        <v>-1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7">
        <v>211.4</v>
      </c>
      <c r="E106" s="2"/>
      <c r="F106" s="6">
        <f t="shared" si="69"/>
        <v>8.2413523302872042E-3</v>
      </c>
      <c r="G106" s="2"/>
      <c r="H106" s="7">
        <v>400</v>
      </c>
      <c r="I106" s="2"/>
      <c r="J106" s="6">
        <f t="shared" si="70"/>
        <v>2.038216560509554E-2</v>
      </c>
      <c r="K106" s="2"/>
      <c r="L106" s="7">
        <f t="shared" si="71"/>
        <v>-188.6</v>
      </c>
      <c r="M106" s="2"/>
      <c r="N106" s="6">
        <f t="shared" si="72"/>
        <v>-0.47149999999999997</v>
      </c>
      <c r="O106" s="11"/>
      <c r="P106" s="7">
        <v>3806.76</v>
      </c>
      <c r="Q106" s="2"/>
      <c r="R106" s="6">
        <f t="shared" si="73"/>
        <v>1.4206255108062192E-3</v>
      </c>
      <c r="S106" s="2"/>
      <c r="T106" s="7">
        <v>5900</v>
      </c>
      <c r="U106" s="2"/>
      <c r="V106" s="6">
        <f t="shared" si="74"/>
        <v>1.3424791813334413E-3</v>
      </c>
      <c r="W106" s="2"/>
      <c r="X106" s="7">
        <f t="shared" si="75"/>
        <v>-2093.2399999999998</v>
      </c>
      <c r="Y106" s="2"/>
      <c r="Z106" s="6">
        <f t="shared" si="76"/>
        <v>-0.35478644067796605</v>
      </c>
    </row>
    <row r="107" spans="1:26" s="25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1003.95</v>
      </c>
      <c r="E107" s="1"/>
      <c r="F107" s="5">
        <f t="shared" ref="F107:F109" si="77">IF(D$12=0,0,D107/D$12)</f>
        <v>3.9138626641399429E-2</v>
      </c>
      <c r="G107" s="1"/>
      <c r="H107" s="1">
        <f>SUM(OSRRefH22_12x_0)</f>
        <v>600</v>
      </c>
      <c r="I107" s="1"/>
      <c r="J107" s="5">
        <f t="shared" ref="J107:J109" si="78">IF(H$12=0,0,H107/H$12)</f>
        <v>3.0573248407643312E-2</v>
      </c>
      <c r="K107" s="1"/>
      <c r="L107" s="1">
        <f t="shared" ref="L107:L109" si="79">+D107-H107</f>
        <v>403.95000000000005</v>
      </c>
      <c r="M107" s="1"/>
      <c r="N107" s="5">
        <f t="shared" ref="N107:N109" si="80">IF(H107=0,0,L107/H107)</f>
        <v>0.67325000000000013</v>
      </c>
      <c r="O107" s="13"/>
      <c r="P107" s="1">
        <f>SUM(OSRRefP22_12x_0)</f>
        <v>8185.9</v>
      </c>
      <c r="Q107" s="1"/>
      <c r="R107" s="5">
        <f t="shared" ref="R107:R109" si="81">IF(P$12=0,0,P107/P$12)</f>
        <v>3.054854618864501E-3</v>
      </c>
      <c r="S107" s="1"/>
      <c r="T107" s="1">
        <f>SUM(OSRRefT22_12x_0)</f>
        <v>8300</v>
      </c>
      <c r="U107" s="1"/>
      <c r="V107" s="5">
        <f t="shared" ref="V107:V109" si="82">IF(T$12=0,0,T107/T$12)</f>
        <v>1.8885724076385701E-3</v>
      </c>
      <c r="W107" s="1"/>
      <c r="X107" s="1">
        <f t="shared" ref="X107:X109" si="83">+P107-T107</f>
        <v>-114.10000000000036</v>
      </c>
      <c r="Y107" s="1"/>
      <c r="Z107" s="5">
        <f t="shared" ref="Z107:Z109" si="84">IF(T107=0,0,X107/T107)</f>
        <v>-1.3746987951807272E-2</v>
      </c>
    </row>
    <row r="108" spans="1:26" s="24" customFormat="1" hidden="1" outlineLevel="2" x14ac:dyDescent="0.25">
      <c r="A108" s="26"/>
      <c r="B108" s="11" t="str">
        <f>CONCATENATE("          ", "6303", " - ", "DATA PHONE LINES")</f>
        <v xml:space="preserve">          6303 - DATA PHONE LINES</v>
      </c>
      <c r="C108" s="11"/>
      <c r="D108" s="7">
        <v>590</v>
      </c>
      <c r="E108" s="2"/>
      <c r="F108" s="6">
        <f t="shared" si="77"/>
        <v>2.300093602114215E-2</v>
      </c>
      <c r="G108" s="2"/>
      <c r="H108" s="7">
        <v>300</v>
      </c>
      <c r="I108" s="2"/>
      <c r="J108" s="6">
        <f t="shared" si="78"/>
        <v>1.5286624203821656E-2</v>
      </c>
      <c r="K108" s="2"/>
      <c r="L108" s="7">
        <f t="shared" si="79"/>
        <v>290</v>
      </c>
      <c r="M108" s="2"/>
      <c r="N108" s="6">
        <f t="shared" si="80"/>
        <v>0.96666666666666667</v>
      </c>
      <c r="O108" s="11"/>
      <c r="P108" s="7">
        <v>3540</v>
      </c>
      <c r="Q108" s="2"/>
      <c r="R108" s="6">
        <f t="shared" si="81"/>
        <v>1.3210746956083428E-3</v>
      </c>
      <c r="S108" s="2"/>
      <c r="T108" s="7">
        <v>3000</v>
      </c>
      <c r="U108" s="2"/>
      <c r="V108" s="6">
        <f t="shared" si="82"/>
        <v>6.826165328814108E-4</v>
      </c>
      <c r="W108" s="2"/>
      <c r="X108" s="7">
        <f t="shared" si="83"/>
        <v>540</v>
      </c>
      <c r="Y108" s="2"/>
      <c r="Z108" s="6">
        <f t="shared" si="84"/>
        <v>0.18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7">
        <v>413.95</v>
      </c>
      <c r="E109" s="2"/>
      <c r="F109" s="6">
        <f t="shared" si="77"/>
        <v>1.6137690620257276E-2</v>
      </c>
      <c r="G109" s="2"/>
      <c r="H109" s="7">
        <v>300</v>
      </c>
      <c r="I109" s="2"/>
      <c r="J109" s="6">
        <f t="shared" si="78"/>
        <v>1.5286624203821656E-2</v>
      </c>
      <c r="K109" s="2"/>
      <c r="L109" s="7">
        <f t="shared" si="79"/>
        <v>113.94999999999999</v>
      </c>
      <c r="M109" s="2"/>
      <c r="N109" s="6">
        <f t="shared" si="80"/>
        <v>0.3798333333333333</v>
      </c>
      <c r="O109" s="11"/>
      <c r="P109" s="7">
        <v>4645.8999999999996</v>
      </c>
      <c r="Q109" s="2"/>
      <c r="R109" s="6">
        <f t="shared" si="81"/>
        <v>1.7337799232561581E-3</v>
      </c>
      <c r="S109" s="2"/>
      <c r="T109" s="7">
        <v>5300</v>
      </c>
      <c r="U109" s="2"/>
      <c r="V109" s="6">
        <f t="shared" si="82"/>
        <v>1.2059558747571592E-3</v>
      </c>
      <c r="W109" s="2"/>
      <c r="X109" s="7">
        <f t="shared" si="83"/>
        <v>-654.10000000000036</v>
      </c>
      <c r="Y109" s="2"/>
      <c r="Z109" s="6">
        <f t="shared" si="84"/>
        <v>-0.12341509433962271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3" si="85">IF(D$12=0,0,D110/D$12)</f>
        <v>0</v>
      </c>
      <c r="G110" s="1"/>
      <c r="H110" s="1">
        <f>SUM(OSRRefH22_13x_0)</f>
        <v>0</v>
      </c>
      <c r="I110" s="1"/>
      <c r="J110" s="5">
        <f t="shared" ref="J110:J113" si="86">IF(H$12=0,0,H110/H$12)</f>
        <v>0</v>
      </c>
      <c r="K110" s="1"/>
      <c r="L110" s="1">
        <f t="shared" ref="L110:L113" si="87">+D110-H110</f>
        <v>0</v>
      </c>
      <c r="M110" s="1"/>
      <c r="N110" s="5">
        <f t="shared" ref="N110:N113" si="88">IF(H110=0,0,L110/H110)</f>
        <v>0</v>
      </c>
      <c r="O110" s="13"/>
      <c r="P110" s="1">
        <f>SUM(OSRRefP22_13x_0)</f>
        <v>0</v>
      </c>
      <c r="Q110" s="1"/>
      <c r="R110" s="5">
        <f t="shared" ref="R110:R113" si="89">IF(P$12=0,0,P110/P$12)</f>
        <v>0</v>
      </c>
      <c r="S110" s="1"/>
      <c r="T110" s="1">
        <f>SUM(OSRRefT22_13x_0)</f>
        <v>5000</v>
      </c>
      <c r="U110" s="1"/>
      <c r="V110" s="5">
        <f t="shared" ref="V110:V113" si="90">IF(T$12=0,0,T110/T$12)</f>
        <v>1.1376942214690181E-3</v>
      </c>
      <c r="W110" s="1"/>
      <c r="X110" s="1">
        <f t="shared" ref="X110:X113" si="91">+P110-T110</f>
        <v>-5000</v>
      </c>
      <c r="Y110" s="1"/>
      <c r="Z110" s="5">
        <f t="shared" ref="Z110:Z113" si="92">IF(T110=0,0,X110/T110)</f>
        <v>-1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7"/>
      <c r="E111" s="2"/>
      <c r="F111" s="6">
        <f t="shared" si="85"/>
        <v>0</v>
      </c>
      <c r="G111" s="2"/>
      <c r="H111" s="7"/>
      <c r="I111" s="2"/>
      <c r="J111" s="6">
        <f t="shared" si="86"/>
        <v>0</v>
      </c>
      <c r="K111" s="2"/>
      <c r="L111" s="7">
        <f t="shared" si="87"/>
        <v>0</v>
      </c>
      <c r="M111" s="2"/>
      <c r="N111" s="6">
        <f t="shared" si="88"/>
        <v>0</v>
      </c>
      <c r="O111" s="11"/>
      <c r="P111" s="7"/>
      <c r="Q111" s="2"/>
      <c r="R111" s="6">
        <f t="shared" si="89"/>
        <v>0</v>
      </c>
      <c r="S111" s="2"/>
      <c r="T111" s="7">
        <v>5000</v>
      </c>
      <c r="U111" s="2"/>
      <c r="V111" s="6">
        <f t="shared" si="90"/>
        <v>1.1376942214690181E-3</v>
      </c>
      <c r="W111" s="2"/>
      <c r="X111" s="7">
        <f t="shared" si="91"/>
        <v>-5000</v>
      </c>
      <c r="Y111" s="2"/>
      <c r="Z111" s="6">
        <f t="shared" si="92"/>
        <v>-1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85"/>
        <v>0</v>
      </c>
      <c r="G112" s="1"/>
      <c r="H112" s="1">
        <f>SUM(OSRRefH22_14x_0)</f>
        <v>0</v>
      </c>
      <c r="I112" s="1"/>
      <c r="J112" s="5">
        <f t="shared" si="86"/>
        <v>0</v>
      </c>
      <c r="K112" s="1"/>
      <c r="L112" s="1">
        <f t="shared" si="87"/>
        <v>0</v>
      </c>
      <c r="M112" s="1"/>
      <c r="N112" s="5">
        <f t="shared" si="88"/>
        <v>0</v>
      </c>
      <c r="O112" s="13"/>
      <c r="P112" s="1">
        <f>SUM(OSRRefP22_14x_0)</f>
        <v>0.16</v>
      </c>
      <c r="Q112" s="1"/>
      <c r="R112" s="5">
        <f t="shared" si="89"/>
        <v>5.9709590761959001E-8</v>
      </c>
      <c r="S112" s="1"/>
      <c r="T112" s="1">
        <f>SUM(OSRRefT22_14x_0)</f>
        <v>0</v>
      </c>
      <c r="U112" s="1"/>
      <c r="V112" s="5">
        <f t="shared" si="90"/>
        <v>0</v>
      </c>
      <c r="W112" s="1"/>
      <c r="X112" s="1">
        <f t="shared" si="91"/>
        <v>0.16</v>
      </c>
      <c r="Y112" s="1"/>
      <c r="Z112" s="5">
        <f t="shared" si="92"/>
        <v>0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7"/>
      <c r="E113" s="2"/>
      <c r="F113" s="6">
        <f t="shared" si="85"/>
        <v>0</v>
      </c>
      <c r="G113" s="2"/>
      <c r="H113" s="7"/>
      <c r="I113" s="2"/>
      <c r="J113" s="6">
        <f t="shared" si="86"/>
        <v>0</v>
      </c>
      <c r="K113" s="2"/>
      <c r="L113" s="7">
        <f t="shared" si="87"/>
        <v>0</v>
      </c>
      <c r="M113" s="2"/>
      <c r="N113" s="6">
        <f t="shared" si="88"/>
        <v>0</v>
      </c>
      <c r="O113" s="11"/>
      <c r="P113" s="7">
        <v>0.16</v>
      </c>
      <c r="Q113" s="2"/>
      <c r="R113" s="6">
        <f t="shared" si="89"/>
        <v>5.9709590761959001E-8</v>
      </c>
      <c r="S113" s="2"/>
      <c r="T113" s="7"/>
      <c r="U113" s="2"/>
      <c r="V113" s="6">
        <f t="shared" si="90"/>
        <v>0</v>
      </c>
      <c r="W113" s="2"/>
      <c r="X113" s="7">
        <f t="shared" si="91"/>
        <v>0.16</v>
      </c>
      <c r="Y113" s="2"/>
      <c r="Z113" s="6">
        <f t="shared" si="92"/>
        <v>0</v>
      </c>
    </row>
    <row r="114" spans="1:26" s="61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293</v>
      </c>
      <c r="C115" s="10"/>
      <c r="D115" s="4">
        <f>SUM(OSRRefD25x_0)</f>
        <v>505.94</v>
      </c>
      <c r="E115" s="4"/>
      <c r="F115" s="12">
        <f t="shared" ref="F115:F118" si="93">IF(D$12=0,0,D115/D$12)</f>
        <v>1.9723887407689253E-2</v>
      </c>
      <c r="G115" s="4"/>
      <c r="H115" s="4">
        <f>SUM(OSRRefH25x_0)</f>
        <v>400</v>
      </c>
      <c r="I115" s="4"/>
      <c r="J115" s="12">
        <f t="shared" ref="J115:J118" si="94">IF(H$12=0,0,H115/H$12)</f>
        <v>2.038216560509554E-2</v>
      </c>
      <c r="K115" s="4"/>
      <c r="L115" s="4">
        <f t="shared" ref="L115:L118" si="95">+D115-H115</f>
        <v>105.94</v>
      </c>
      <c r="M115" s="4"/>
      <c r="N115" s="12">
        <f t="shared" ref="N115:N118" si="96">IF(H115=0,0,L115/H115)</f>
        <v>0.26484999999999997</v>
      </c>
      <c r="O115" s="10"/>
      <c r="P115" s="4">
        <f>SUM(OSRRefP25x_0)</f>
        <v>331308.07</v>
      </c>
      <c r="Q115" s="4"/>
      <c r="R115" s="12">
        <f t="shared" ref="R115:R118" si="97">IF(P$12=0,0,P115/P$12)</f>
        <v>0.12363918297396542</v>
      </c>
      <c r="S115" s="4"/>
      <c r="T115" s="4">
        <f>SUM(OSRRefT25x_0)</f>
        <v>197080</v>
      </c>
      <c r="U115" s="4"/>
      <c r="V115" s="12">
        <f t="shared" ref="V115:V118" si="98">IF(T$12=0,0,T115/T$12)</f>
        <v>4.484335543342282E-2</v>
      </c>
      <c r="W115" s="4"/>
      <c r="X115" s="4">
        <f t="shared" ref="X115:X118" si="99">+P115-T115</f>
        <v>134228.07</v>
      </c>
      <c r="Y115" s="4"/>
      <c r="Z115" s="12">
        <f t="shared" ref="Z115:Z118" si="100">IF(T115=0,0,X115/T115)</f>
        <v>0.68108417901359852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 t="shared" ref="D116:D117" si="101">0</f>
        <v>0</v>
      </c>
      <c r="E116" s="2"/>
      <c r="F116" s="19">
        <f t="shared" si="93"/>
        <v>0</v>
      </c>
      <c r="G116" s="2"/>
      <c r="H116" s="2">
        <v>400</v>
      </c>
      <c r="I116" s="2"/>
      <c r="J116" s="19">
        <f t="shared" si="94"/>
        <v>2.038216560509554E-2</v>
      </c>
      <c r="K116" s="2"/>
      <c r="L116" s="2">
        <f t="shared" si="95"/>
        <v>-400</v>
      </c>
      <c r="M116" s="2"/>
      <c r="N116" s="19">
        <f t="shared" si="96"/>
        <v>-1</v>
      </c>
      <c r="O116" s="11"/>
      <c r="P116" s="2">
        <f>--31463.11</f>
        <v>31463.11</v>
      </c>
      <c r="Q116" s="2"/>
      <c r="R116" s="19">
        <f t="shared" si="97"/>
        <v>1.1741558888740625E-2</v>
      </c>
      <c r="S116" s="2"/>
      <c r="T116" s="2">
        <v>26000</v>
      </c>
      <c r="U116" s="2"/>
      <c r="V116" s="19">
        <f t="shared" si="98"/>
        <v>5.9160099516388943E-3</v>
      </c>
      <c r="W116" s="2"/>
      <c r="X116" s="2">
        <f t="shared" si="99"/>
        <v>5463.1100000000006</v>
      </c>
      <c r="Y116" s="2"/>
      <c r="Z116" s="19">
        <f t="shared" si="100"/>
        <v>0.2101196153846154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 t="shared" si="101"/>
        <v>0</v>
      </c>
      <c r="E117" s="2"/>
      <c r="F117" s="19">
        <f t="shared" si="93"/>
        <v>0</v>
      </c>
      <c r="G117" s="2"/>
      <c r="H117" s="2"/>
      <c r="I117" s="2"/>
      <c r="J117" s="19">
        <f t="shared" si="94"/>
        <v>0</v>
      </c>
      <c r="K117" s="2"/>
      <c r="L117" s="2">
        <f t="shared" si="95"/>
        <v>0</v>
      </c>
      <c r="M117" s="2"/>
      <c r="N117" s="19">
        <f t="shared" si="96"/>
        <v>0</v>
      </c>
      <c r="O117" s="11"/>
      <c r="P117" s="2">
        <f>--295628.46</f>
        <v>295628.46000000002</v>
      </c>
      <c r="Q117" s="2"/>
      <c r="R117" s="19">
        <f t="shared" si="97"/>
        <v>0.11032408977617605</v>
      </c>
      <c r="S117" s="2"/>
      <c r="T117" s="2">
        <v>171080</v>
      </c>
      <c r="U117" s="2"/>
      <c r="V117" s="19">
        <f t="shared" si="98"/>
        <v>3.892734548178392E-2</v>
      </c>
      <c r="W117" s="2"/>
      <c r="X117" s="2">
        <f t="shared" si="99"/>
        <v>124548.46000000002</v>
      </c>
      <c r="Y117" s="2"/>
      <c r="Z117" s="19">
        <f t="shared" si="100"/>
        <v>0.72801297638531692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>--505.94</f>
        <v>505.94</v>
      </c>
      <c r="E118" s="2"/>
      <c r="F118" s="19">
        <f t="shared" si="93"/>
        <v>1.9723887407689253E-2</v>
      </c>
      <c r="G118" s="2"/>
      <c r="H118" s="2"/>
      <c r="I118" s="2"/>
      <c r="J118" s="19">
        <f t="shared" si="94"/>
        <v>0</v>
      </c>
      <c r="K118" s="2"/>
      <c r="L118" s="2">
        <f t="shared" si="95"/>
        <v>505.94</v>
      </c>
      <c r="M118" s="2"/>
      <c r="N118" s="19">
        <f t="shared" si="96"/>
        <v>0</v>
      </c>
      <c r="O118" s="11"/>
      <c r="P118" s="2">
        <f>--4216.5</f>
        <v>4216.5</v>
      </c>
      <c r="Q118" s="2"/>
      <c r="R118" s="19">
        <f t="shared" si="97"/>
        <v>1.5735343090487509E-3</v>
      </c>
      <c r="S118" s="2"/>
      <c r="T118" s="2"/>
      <c r="U118" s="2"/>
      <c r="V118" s="19">
        <f t="shared" si="98"/>
        <v>0</v>
      </c>
      <c r="W118" s="2"/>
      <c r="X118" s="2">
        <f t="shared" si="99"/>
        <v>4216.5</v>
      </c>
      <c r="Y118" s="2"/>
      <c r="Z118" s="19">
        <f t="shared" si="100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277</v>
      </c>
      <c r="C120" s="28"/>
      <c r="D120" s="21">
        <f>+D55-D57+D115</f>
        <v>-57685.580000000016</v>
      </c>
      <c r="E120" s="14"/>
      <c r="F120" s="20">
        <f>IF(D$12=0,0,D120/D$12)</f>
        <v>-2.2488514151228434</v>
      </c>
      <c r="G120" s="14"/>
      <c r="H120" s="21">
        <f>+H55-H57+H115</f>
        <v>-46746.399279826939</v>
      </c>
      <c r="I120" s="14"/>
      <c r="J120" s="20">
        <f>IF(H$12=0,0,H120/H$12)</f>
        <v>-2.3819821289083789</v>
      </c>
      <c r="K120" s="16"/>
      <c r="L120" s="21">
        <f>+D120-H120</f>
        <v>-10939.180720173077</v>
      </c>
      <c r="M120" s="16"/>
      <c r="N120" s="20">
        <f>IF(H120=0,0,L120/H120)</f>
        <v>0.23401119420322497</v>
      </c>
      <c r="O120" s="29"/>
      <c r="P120" s="21">
        <f>+P55-P57+P115</f>
        <v>644581.03000000061</v>
      </c>
      <c r="Q120" s="14"/>
      <c r="R120" s="20">
        <f>IF(P$12=0,0,P120/P$12)</f>
        <v>0.24054793446388784</v>
      </c>
      <c r="S120" s="14"/>
      <c r="T120" s="21">
        <f>+T55-T57+T115</f>
        <v>838231.74397202348</v>
      </c>
      <c r="U120" s="14"/>
      <c r="V120" s="20">
        <f>IF(T$12=0,0,T120/T$12)</f>
        <v>0.1907302822737737</v>
      </c>
      <c r="W120" s="16"/>
      <c r="X120" s="21">
        <f>+P120-T120</f>
        <v>-193650.71397202287</v>
      </c>
      <c r="Y120" s="16"/>
      <c r="Z120" s="20">
        <f>IF(T120=0,0,X120/T120)</f>
        <v>-0.23102288282998512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128</v>
      </c>
      <c r="C122" s="10"/>
      <c r="D122" s="4">
        <v>13626.98</v>
      </c>
      <c r="E122" s="4"/>
      <c r="F122" s="12">
        <f>IF(D$12=0,0,D122/D$12)</f>
        <v>0.53124287312098928</v>
      </c>
      <c r="G122" s="4"/>
      <c r="H122" s="4">
        <v>22400</v>
      </c>
      <c r="I122" s="4"/>
      <c r="J122" s="12">
        <f>IF(H$12=0,0,H122/H$12)</f>
        <v>1.1414012738853503</v>
      </c>
      <c r="K122" s="4"/>
      <c r="L122" s="4">
        <f>+D122-H122</f>
        <v>-8773.02</v>
      </c>
      <c r="M122" s="4"/>
      <c r="N122" s="12">
        <f>IF(H122=0,0,L122/H122)</f>
        <v>-0.3916526785714286</v>
      </c>
      <c r="O122" s="10"/>
      <c r="P122" s="4">
        <v>560590.82999999996</v>
      </c>
      <c r="Q122" s="4"/>
      <c r="R122" s="12">
        <f>IF(P$12=0,0,P122/P$12)</f>
        <v>0.20920405652629329</v>
      </c>
      <c r="S122" s="4"/>
      <c r="T122" s="4">
        <v>796116</v>
      </c>
      <c r="U122" s="4"/>
      <c r="V122" s="12">
        <f>IF(T$12=0,0,T122/T$12)</f>
        <v>0.18114731456380576</v>
      </c>
      <c r="W122" s="4"/>
      <c r="X122" s="4">
        <f>+P122-T122</f>
        <v>-235525.17000000004</v>
      </c>
      <c r="Y122" s="4"/>
      <c r="Z122" s="12">
        <f>IF(T122=0,0,X122/T122)</f>
        <v>-0.29584277919298196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126</v>
      </c>
      <c r="C124" s="28"/>
      <c r="D124" s="31">
        <f>+D120-D122</f>
        <v>-71312.560000000012</v>
      </c>
      <c r="E124" s="14"/>
      <c r="F124" s="33">
        <f>IF(D$12=0,0,D124/D$12)</f>
        <v>-2.7800942882438324</v>
      </c>
      <c r="G124" s="14"/>
      <c r="H124" s="31">
        <f>+H120-H122</f>
        <v>-69146.399279826932</v>
      </c>
      <c r="I124" s="14"/>
      <c r="J124" s="33">
        <f>IF(H$12=0,0,H124/H$12)</f>
        <v>-3.523383402793729</v>
      </c>
      <c r="K124" s="16"/>
      <c r="L124" s="31">
        <f>D124-H124</f>
        <v>-2166.1607201730803</v>
      </c>
      <c r="M124" s="16"/>
      <c r="N124" s="33">
        <f>IF(H124=0,0,L124/H124)</f>
        <v>3.1327165878976514E-2</v>
      </c>
      <c r="O124" s="29"/>
      <c r="P124" s="31">
        <f>+P120-P122</f>
        <v>83990.200000000652</v>
      </c>
      <c r="Q124" s="14"/>
      <c r="R124" s="33">
        <f>IF(P$12=0,0,P124/P$12)</f>
        <v>3.134387793759455E-2</v>
      </c>
      <c r="S124" s="14"/>
      <c r="T124" s="31">
        <f>+T120-T122</f>
        <v>42115.743972023483</v>
      </c>
      <c r="U124" s="14"/>
      <c r="V124" s="33">
        <f>IF(T$12=0,0,T124/T$12)</f>
        <v>9.5829677099679503E-3</v>
      </c>
      <c r="W124" s="16"/>
      <c r="X124" s="31">
        <f>P124-T124</f>
        <v>41874.456027977169</v>
      </c>
      <c r="Y124" s="16"/>
      <c r="Z124" s="33">
        <f>IF(T124=0,0,X124/T124)</f>
        <v>0.99427083742824074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294</v>
      </c>
      <c r="C127" s="28"/>
      <c r="D127" s="34">
        <f>SUM(D124:D126)</f>
        <v>-71312.560000000012</v>
      </c>
      <c r="E127" s="14"/>
      <c r="F127" s="35">
        <f>IF(D$12=0,0,D127/D$12)</f>
        <v>-2.7800942882438324</v>
      </c>
      <c r="G127" s="14"/>
      <c r="H127" s="34">
        <f>SUM(H124:H126)</f>
        <v>-69146.399279826932</v>
      </c>
      <c r="I127" s="14"/>
      <c r="J127" s="35">
        <f>IF(H$12=0,0,H127/H$12)</f>
        <v>-3.523383402793729</v>
      </c>
      <c r="K127" s="16"/>
      <c r="L127" s="34">
        <f>+D127-H127</f>
        <v>-2166.1607201730803</v>
      </c>
      <c r="M127" s="16"/>
      <c r="N127" s="35">
        <f>IF(H127=0,0,L127/H127)</f>
        <v>3.1327165878976514E-2</v>
      </c>
      <c r="O127" s="29"/>
      <c r="P127" s="34">
        <f>SUM(P124:P126)</f>
        <v>83990.200000000652</v>
      </c>
      <c r="Q127" s="14"/>
      <c r="R127" s="35">
        <f>IF(P$12=0,0,P127/P$12)</f>
        <v>3.134387793759455E-2</v>
      </c>
      <c r="S127" s="14"/>
      <c r="T127" s="34">
        <f>SUM(T124:T126)</f>
        <v>42115.743972023483</v>
      </c>
      <c r="U127" s="14"/>
      <c r="V127" s="35">
        <f>IF(T$12=0,0,T127/T$12)</f>
        <v>9.5829677099679503E-3</v>
      </c>
      <c r="W127" s="16"/>
      <c r="X127" s="34">
        <f>+P127-T127</f>
        <v>41874.456027977169</v>
      </c>
      <c r="Y127" s="16"/>
      <c r="Z127" s="35">
        <f>IF(T127=0,0,X127/T127)</f>
        <v>0.99427083742824074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2">
        <v>44330.005790740739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6" t="s">
        <v>56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5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36803.30999999999</v>
      </c>
      <c r="E12" s="4"/>
      <c r="F12" s="12"/>
      <c r="G12" s="4"/>
      <c r="H12" s="4">
        <f>SUM(OSRRefH13x_0)</f>
        <v>17564</v>
      </c>
      <c r="I12" s="4"/>
      <c r="J12" s="12"/>
      <c r="K12" s="4"/>
      <c r="L12" s="4">
        <f t="shared" ref="L12:L34" si="0">+D12-H12</f>
        <v>19239.30999999999</v>
      </c>
      <c r="M12" s="4"/>
      <c r="N12" s="12">
        <f t="shared" ref="N12:N34" si="1">IF(H12=0,0,L12/H12)</f>
        <v>1.0953831701207009</v>
      </c>
      <c r="O12" s="10"/>
      <c r="P12" s="4">
        <f>SUM(OSRRefP13x_0)</f>
        <v>1914556.7099999997</v>
      </c>
      <c r="Q12" s="4"/>
      <c r="R12" s="12"/>
      <c r="S12" s="4"/>
      <c r="T12" s="4">
        <f>SUM(OSRRefT13x_0)</f>
        <v>2976820</v>
      </c>
      <c r="U12" s="4"/>
      <c r="V12" s="12"/>
      <c r="W12" s="4"/>
      <c r="X12" s="4">
        <f t="shared" ref="X12:X34" si="2">+P12-T12</f>
        <v>-1062263.2900000003</v>
      </c>
      <c r="Y12" s="4"/>
      <c r="Z12" s="12">
        <f t="shared" ref="Z12:Z34" si="3">IF(T12=0,0,X12/T12)</f>
        <v>-0.35684498558864836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-219.91</f>
        <v>-219.91</v>
      </c>
      <c r="E13" s="2"/>
      <c r="F13" s="19"/>
      <c r="G13" s="2"/>
      <c r="H13" s="2">
        <v>17564</v>
      </c>
      <c r="I13" s="2"/>
      <c r="J13" s="19"/>
      <c r="K13" s="2"/>
      <c r="L13" s="2">
        <f t="shared" si="0"/>
        <v>-17783.91</v>
      </c>
      <c r="M13" s="2"/>
      <c r="N13" s="19">
        <f t="shared" si="1"/>
        <v>-1.0125204964700523</v>
      </c>
      <c r="O13" s="11"/>
      <c r="P13" s="2">
        <f>-8578.72</f>
        <v>-8578.7199999999993</v>
      </c>
      <c r="Q13" s="2"/>
      <c r="R13" s="19"/>
      <c r="S13" s="2"/>
      <c r="T13" s="2">
        <v>2976820</v>
      </c>
      <c r="U13" s="2"/>
      <c r="V13" s="19"/>
      <c r="W13" s="2"/>
      <c r="X13" s="2">
        <f t="shared" si="2"/>
        <v>-2985398.72</v>
      </c>
      <c r="Y13" s="2"/>
      <c r="Z13" s="19">
        <f t="shared" si="3"/>
        <v>-1.0028818403531286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--30794.67</f>
        <v>30794.67</v>
      </c>
      <c r="E14" s="2"/>
      <c r="F14" s="19"/>
      <c r="G14" s="2"/>
      <c r="H14" s="2"/>
      <c r="I14" s="2"/>
      <c r="J14" s="19"/>
      <c r="K14" s="2"/>
      <c r="L14" s="2">
        <f t="shared" si="0"/>
        <v>30794.67</v>
      </c>
      <c r="M14" s="2"/>
      <c r="N14" s="19">
        <f t="shared" si="1"/>
        <v>0</v>
      </c>
      <c r="O14" s="11"/>
      <c r="P14" s="2">
        <f>--999804.98</f>
        <v>999804.98</v>
      </c>
      <c r="Q14" s="2"/>
      <c r="R14" s="19"/>
      <c r="S14" s="2"/>
      <c r="T14" s="2"/>
      <c r="U14" s="2"/>
      <c r="V14" s="19"/>
      <c r="W14" s="2"/>
      <c r="X14" s="2">
        <f t="shared" si="2"/>
        <v>999804.98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--1290.6</f>
        <v>1290.5999999999999</v>
      </c>
      <c r="E15" s="2"/>
      <c r="F15" s="19"/>
      <c r="G15" s="2"/>
      <c r="H15" s="2"/>
      <c r="I15" s="2"/>
      <c r="J15" s="19"/>
      <c r="K15" s="2"/>
      <c r="L15" s="2">
        <f t="shared" si="0"/>
        <v>1290.5999999999999</v>
      </c>
      <c r="M15" s="2"/>
      <c r="N15" s="19">
        <f t="shared" si="1"/>
        <v>0</v>
      </c>
      <c r="O15" s="11"/>
      <c r="P15" s="2">
        <f>--351532.97</f>
        <v>351532.97</v>
      </c>
      <c r="Q15" s="2"/>
      <c r="R15" s="19"/>
      <c r="S15" s="2"/>
      <c r="T15" s="2"/>
      <c r="U15" s="2"/>
      <c r="V15" s="19"/>
      <c r="W15" s="2"/>
      <c r="X15" s="2">
        <f t="shared" si="2"/>
        <v>351532.97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--20</f>
        <v>20</v>
      </c>
      <c r="E16" s="2"/>
      <c r="F16" s="19"/>
      <c r="G16" s="2"/>
      <c r="H16" s="2"/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1"/>
      <c r="P16" s="2">
        <f>--17997.88</f>
        <v>17997.88</v>
      </c>
      <c r="Q16" s="2"/>
      <c r="R16" s="19"/>
      <c r="S16" s="2"/>
      <c r="T16" s="2"/>
      <c r="U16" s="2"/>
      <c r="V16" s="19"/>
      <c r="W16" s="2"/>
      <c r="X16" s="2">
        <f t="shared" si="2"/>
        <v>17997.88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--61.81</f>
        <v>61.81</v>
      </c>
      <c r="E18" s="2"/>
      <c r="F18" s="19"/>
      <c r="G18" s="2"/>
      <c r="H18" s="2"/>
      <c r="I18" s="2"/>
      <c r="J18" s="19"/>
      <c r="K18" s="2"/>
      <c r="L18" s="2">
        <f t="shared" si="0"/>
        <v>61.81</v>
      </c>
      <c r="M18" s="2"/>
      <c r="N18" s="19">
        <f t="shared" si="1"/>
        <v>0</v>
      </c>
      <c r="O18" s="11"/>
      <c r="P18" s="2">
        <f>--1263.83</f>
        <v>1263.83</v>
      </c>
      <c r="Q18" s="2"/>
      <c r="R18" s="19"/>
      <c r="S18" s="2"/>
      <c r="T18" s="2"/>
      <c r="U18" s="2"/>
      <c r="V18" s="19"/>
      <c r="W18" s="2"/>
      <c r="X18" s="2">
        <f t="shared" si="2"/>
        <v>1263.83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--36.85</f>
        <v>36.85</v>
      </c>
      <c r="E19" s="2"/>
      <c r="F19" s="19"/>
      <c r="G19" s="2"/>
      <c r="H19" s="2"/>
      <c r="I19" s="2"/>
      <c r="J19" s="19"/>
      <c r="K19" s="2"/>
      <c r="L19" s="2">
        <f t="shared" si="0"/>
        <v>36.85</v>
      </c>
      <c r="M19" s="2"/>
      <c r="N19" s="19">
        <f t="shared" si="1"/>
        <v>0</v>
      </c>
      <c r="O19" s="11"/>
      <c r="P19" s="2">
        <f>--484.55</f>
        <v>484.55</v>
      </c>
      <c r="Q19" s="2"/>
      <c r="R19" s="19"/>
      <c r="S19" s="2"/>
      <c r="T19" s="2"/>
      <c r="U19" s="2"/>
      <c r="V19" s="19"/>
      <c r="W19" s="2"/>
      <c r="X19" s="2">
        <f t="shared" si="2"/>
        <v>484.55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--72.96</f>
        <v>72.959999999999994</v>
      </c>
      <c r="E20" s="2"/>
      <c r="F20" s="19"/>
      <c r="G20" s="2"/>
      <c r="H20" s="2"/>
      <c r="I20" s="2"/>
      <c r="J20" s="19"/>
      <c r="K20" s="2"/>
      <c r="L20" s="2">
        <f t="shared" si="0"/>
        <v>72.959999999999994</v>
      </c>
      <c r="M20" s="2"/>
      <c r="N20" s="19">
        <f t="shared" si="1"/>
        <v>0</v>
      </c>
      <c r="O20" s="11"/>
      <c r="P20" s="2">
        <f>--473.1</f>
        <v>473.1</v>
      </c>
      <c r="Q20" s="2"/>
      <c r="R20" s="19"/>
      <c r="S20" s="2"/>
      <c r="T20" s="2"/>
      <c r="U20" s="2"/>
      <c r="V20" s="19"/>
      <c r="W20" s="2"/>
      <c r="X20" s="2">
        <f t="shared" si="2"/>
        <v>473.1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--741.03</f>
        <v>741.03</v>
      </c>
      <c r="E21" s="2"/>
      <c r="F21" s="19"/>
      <c r="G21" s="2"/>
      <c r="H21" s="2"/>
      <c r="I21" s="2"/>
      <c r="J21" s="19"/>
      <c r="K21" s="2"/>
      <c r="L21" s="2">
        <f t="shared" si="0"/>
        <v>741.03</v>
      </c>
      <c r="M21" s="2"/>
      <c r="N21" s="19">
        <f t="shared" si="1"/>
        <v>0</v>
      </c>
      <c r="O21" s="11"/>
      <c r="P21" s="2">
        <f>--112796.74</f>
        <v>112796.74</v>
      </c>
      <c r="Q21" s="2"/>
      <c r="R21" s="19"/>
      <c r="S21" s="2"/>
      <c r="T21" s="2"/>
      <c r="U21" s="2"/>
      <c r="V21" s="19"/>
      <c r="W21" s="2"/>
      <c r="X21" s="2">
        <f t="shared" si="2"/>
        <v>112796.74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--743.99</f>
        <v>743.99</v>
      </c>
      <c r="E22" s="2"/>
      <c r="F22" s="19"/>
      <c r="G22" s="2"/>
      <c r="H22" s="2"/>
      <c r="I22" s="2"/>
      <c r="J22" s="19"/>
      <c r="K22" s="2"/>
      <c r="L22" s="2">
        <f t="shared" si="0"/>
        <v>743.99</v>
      </c>
      <c r="M22" s="2"/>
      <c r="N22" s="19">
        <f t="shared" si="1"/>
        <v>0</v>
      </c>
      <c r="O22" s="11"/>
      <c r="P22" s="2">
        <f>--48703.42</f>
        <v>48703.42</v>
      </c>
      <c r="Q22" s="2"/>
      <c r="R22" s="19"/>
      <c r="S22" s="2"/>
      <c r="T22" s="2"/>
      <c r="U22" s="2"/>
      <c r="V22" s="19"/>
      <c r="W22" s="2"/>
      <c r="X22" s="2">
        <f t="shared" si="2"/>
        <v>48703.42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--1138.95</f>
        <v>1138.95</v>
      </c>
      <c r="Q23" s="2"/>
      <c r="R23" s="19"/>
      <c r="S23" s="2"/>
      <c r="T23" s="2"/>
      <c r="U23" s="2"/>
      <c r="V23" s="19"/>
      <c r="W23" s="2"/>
      <c r="X23" s="2">
        <f t="shared" si="2"/>
        <v>1138.95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--3431.99</f>
        <v>3431.99</v>
      </c>
      <c r="E24" s="2"/>
      <c r="F24" s="19"/>
      <c r="G24" s="2"/>
      <c r="H24" s="2"/>
      <c r="I24" s="2"/>
      <c r="J24" s="19"/>
      <c r="K24" s="2"/>
      <c r="L24" s="2">
        <f t="shared" si="0"/>
        <v>3431.99</v>
      </c>
      <c r="M24" s="2"/>
      <c r="N24" s="19">
        <f t="shared" si="1"/>
        <v>0</v>
      </c>
      <c r="O24" s="11"/>
      <c r="P24" s="2">
        <f>--480403.17</f>
        <v>480403.17</v>
      </c>
      <c r="Q24" s="2"/>
      <c r="R24" s="19"/>
      <c r="S24" s="2"/>
      <c r="T24" s="2"/>
      <c r="U24" s="2"/>
      <c r="V24" s="19"/>
      <c r="W24" s="2"/>
      <c r="X24" s="2">
        <f t="shared" si="2"/>
        <v>480403.17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--738</f>
        <v>738</v>
      </c>
      <c r="E25" s="2"/>
      <c r="F25" s="19"/>
      <c r="G25" s="2"/>
      <c r="H25" s="2"/>
      <c r="I25" s="2"/>
      <c r="J25" s="19"/>
      <c r="K25" s="2"/>
      <c r="L25" s="2">
        <f t="shared" si="0"/>
        <v>738</v>
      </c>
      <c r="M25" s="2"/>
      <c r="N25" s="19">
        <f t="shared" si="1"/>
        <v>0</v>
      </c>
      <c r="O25" s="11"/>
      <c r="P25" s="2">
        <f>--12127.25</f>
        <v>12127.25</v>
      </c>
      <c r="Q25" s="2"/>
      <c r="R25" s="19"/>
      <c r="S25" s="2"/>
      <c r="T25" s="2"/>
      <c r="U25" s="2"/>
      <c r="V25" s="19"/>
      <c r="W25" s="2"/>
      <c r="X25" s="2">
        <f t="shared" si="2"/>
        <v>12127.25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--771.73</f>
        <v>771.73</v>
      </c>
      <c r="Q26" s="2"/>
      <c r="R26" s="19"/>
      <c r="S26" s="2"/>
      <c r="T26" s="2"/>
      <c r="U26" s="2"/>
      <c r="V26" s="19"/>
      <c r="W26" s="2"/>
      <c r="X26" s="2">
        <f t="shared" si="2"/>
        <v>771.73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-376.85</f>
        <v>-376.85</v>
      </c>
      <c r="E27" s="2"/>
      <c r="F27" s="19"/>
      <c r="G27" s="2"/>
      <c r="H27" s="2"/>
      <c r="I27" s="2"/>
      <c r="J27" s="19"/>
      <c r="K27" s="2"/>
      <c r="L27" s="2">
        <f t="shared" si="0"/>
        <v>-376.85</v>
      </c>
      <c r="M27" s="2"/>
      <c r="N27" s="19">
        <f t="shared" si="1"/>
        <v>0</v>
      </c>
      <c r="O27" s="11"/>
      <c r="P27" s="2">
        <f>-51638.02</f>
        <v>-51638.02</v>
      </c>
      <c r="Q27" s="2"/>
      <c r="R27" s="19"/>
      <c r="S27" s="2"/>
      <c r="T27" s="2"/>
      <c r="U27" s="2"/>
      <c r="V27" s="19"/>
      <c r="W27" s="2"/>
      <c r="X27" s="2">
        <f t="shared" si="2"/>
        <v>-51638.02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-206.95</f>
        <v>-206.95</v>
      </c>
      <c r="E28" s="2"/>
      <c r="F28" s="19"/>
      <c r="G28" s="2"/>
      <c r="H28" s="2"/>
      <c r="I28" s="2"/>
      <c r="J28" s="19"/>
      <c r="K28" s="2"/>
      <c r="L28" s="2">
        <f t="shared" si="0"/>
        <v>-206.95</v>
      </c>
      <c r="M28" s="2"/>
      <c r="N28" s="19">
        <f t="shared" si="1"/>
        <v>0</v>
      </c>
      <c r="O28" s="11"/>
      <c r="P28" s="2">
        <f>-20096.26</f>
        <v>-20096.259999999998</v>
      </c>
      <c r="Q28" s="2"/>
      <c r="R28" s="19"/>
      <c r="S28" s="2"/>
      <c r="T28" s="2"/>
      <c r="U28" s="2"/>
      <c r="V28" s="19"/>
      <c r="W28" s="2"/>
      <c r="X28" s="2">
        <f t="shared" si="2"/>
        <v>-20096.259999999998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 t="shared" ref="D29:D31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-1763.1</f>
        <v>-1763.1</v>
      </c>
      <c r="Q29" s="2"/>
      <c r="R29" s="19"/>
      <c r="S29" s="2"/>
      <c r="T29" s="2"/>
      <c r="U29" s="2"/>
      <c r="V29" s="19"/>
      <c r="W29" s="2"/>
      <c r="X29" s="2">
        <f t="shared" si="2"/>
        <v>-1763.1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"4213", " - ", "NON-TAXABLE SALES-TRADE BOOKS")</f>
        <v xml:space="preserve">          4213 - NON-TAXABLE SALES-TRADE BOOKS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-69.93</f>
        <v>-69.930000000000007</v>
      </c>
      <c r="Q30" s="2"/>
      <c r="R30" s="19"/>
      <c r="S30" s="2"/>
      <c r="T30" s="2"/>
      <c r="U30" s="2"/>
      <c r="V30" s="19"/>
      <c r="W30" s="2"/>
      <c r="X30" s="2">
        <f t="shared" si="2"/>
        <v>-69.930000000000007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-5.21</f>
        <v>-5.21</v>
      </c>
      <c r="Q31" s="2"/>
      <c r="R31" s="19"/>
      <c r="S31" s="2"/>
      <c r="T31" s="2"/>
      <c r="U31" s="2"/>
      <c r="V31" s="19"/>
      <c r="W31" s="2"/>
      <c r="X31" s="2">
        <f t="shared" si="2"/>
        <v>-5.21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-225.91</f>
        <v>-225.91</v>
      </c>
      <c r="E32" s="2"/>
      <c r="F32" s="19"/>
      <c r="G32" s="2"/>
      <c r="H32" s="2"/>
      <c r="I32" s="2"/>
      <c r="J32" s="19"/>
      <c r="K32" s="2"/>
      <c r="L32" s="2">
        <f t="shared" si="0"/>
        <v>-225.91</v>
      </c>
      <c r="M32" s="2"/>
      <c r="N32" s="19">
        <f t="shared" si="1"/>
        <v>0</v>
      </c>
      <c r="O32" s="11"/>
      <c r="P32" s="2">
        <f>-3463.2</f>
        <v>-3463.2</v>
      </c>
      <c r="Q32" s="2"/>
      <c r="R32" s="19"/>
      <c r="S32" s="2"/>
      <c r="T32" s="2"/>
      <c r="U32" s="2"/>
      <c r="V32" s="19"/>
      <c r="W32" s="2"/>
      <c r="X32" s="2">
        <f t="shared" si="2"/>
        <v>-3463.2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-98.97</f>
        <v>-98.97</v>
      </c>
      <c r="E33" s="2"/>
      <c r="F33" s="19"/>
      <c r="G33" s="2"/>
      <c r="H33" s="2"/>
      <c r="I33" s="2"/>
      <c r="J33" s="19"/>
      <c r="K33" s="2"/>
      <c r="L33" s="2">
        <f t="shared" si="0"/>
        <v>-98.97</v>
      </c>
      <c r="M33" s="2"/>
      <c r="N33" s="19">
        <f t="shared" si="1"/>
        <v>0</v>
      </c>
      <c r="O33" s="11"/>
      <c r="P33" s="2">
        <f>-2443.32</f>
        <v>-2443.3200000000002</v>
      </c>
      <c r="Q33" s="2"/>
      <c r="R33" s="19"/>
      <c r="S33" s="2"/>
      <c r="T33" s="2"/>
      <c r="U33" s="2"/>
      <c r="V33" s="19"/>
      <c r="W33" s="2"/>
      <c r="X33" s="2">
        <f t="shared" si="2"/>
        <v>-2443.3200000000002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-27543.76</f>
        <v>-27543.759999999998</v>
      </c>
      <c r="Q34" s="2"/>
      <c r="R34" s="19"/>
      <c r="S34" s="2"/>
      <c r="T34" s="2"/>
      <c r="U34" s="2"/>
      <c r="V34" s="19"/>
      <c r="W34" s="2"/>
      <c r="X34" s="2">
        <f t="shared" si="2"/>
        <v>-27543.759999999998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257</v>
      </c>
      <c r="C36" s="10"/>
      <c r="D36" s="4">
        <f>SUM(OSRRefD16x_0)</f>
        <v>30994.000000000022</v>
      </c>
      <c r="E36" s="4"/>
      <c r="F36" s="12">
        <f t="shared" ref="F36:F52" si="5">IF(D$12=0,0,D36/D$12)</f>
        <v>0.84215251291256221</v>
      </c>
      <c r="G36" s="4"/>
      <c r="H36" s="4">
        <f>SUM(OSRRefH16x_0)</f>
        <v>12822</v>
      </c>
      <c r="I36" s="4"/>
      <c r="J36" s="12">
        <f t="shared" ref="J36:J52" si="6">IF(H$12=0,0,H36/H$12)</f>
        <v>0.73001594169892958</v>
      </c>
      <c r="K36" s="4"/>
      <c r="L36" s="4">
        <f t="shared" ref="L36:L52" si="7">+D36-H36</f>
        <v>18172.000000000022</v>
      </c>
      <c r="M36" s="4"/>
      <c r="N36" s="12">
        <f t="shared" ref="N36:N52" si="8">IF(H36=0,0,L36/H36)</f>
        <v>1.4172515988145393</v>
      </c>
      <c r="O36" s="10"/>
      <c r="P36" s="4">
        <f>SUM(OSRRefP16x_0)</f>
        <v>1361321.9999999998</v>
      </c>
      <c r="Q36" s="4"/>
      <c r="R36" s="12">
        <f t="shared" ref="R36:R52" si="9">IF(P$12=0,0,P36/P$12)</f>
        <v>0.71103770020998747</v>
      </c>
      <c r="S36" s="4"/>
      <c r="T36" s="4">
        <f>SUM(OSRRefT16x_0)</f>
        <v>2165450</v>
      </c>
      <c r="U36" s="4"/>
      <c r="V36" s="12">
        <f t="shared" ref="V36:V52" si="10">IF(T$12=0,0,T36/T$12)</f>
        <v>0.72743733245543907</v>
      </c>
      <c r="W36" s="4"/>
      <c r="X36" s="4">
        <f t="shared" ref="X36:X52" si="11">+P36-T36</f>
        <v>-804128.00000000023</v>
      </c>
      <c r="Y36" s="4"/>
      <c r="Z36" s="12">
        <f t="shared" ref="Z36:Z52" si="12">IF(T36=0,0,X36/T36)</f>
        <v>-0.37134452423283854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5"/>
        <v>0</v>
      </c>
      <c r="G37" s="2"/>
      <c r="H37" s="2">
        <v>12822</v>
      </c>
      <c r="I37" s="2"/>
      <c r="J37" s="19">
        <f t="shared" si="6"/>
        <v>0.73001594169892958</v>
      </c>
      <c r="K37" s="2"/>
      <c r="L37" s="2">
        <f t="shared" si="7"/>
        <v>-12822</v>
      </c>
      <c r="M37" s="2"/>
      <c r="N37" s="19">
        <f t="shared" si="8"/>
        <v>-1</v>
      </c>
      <c r="O37" s="11"/>
      <c r="P37" s="2">
        <v>0</v>
      </c>
      <c r="Q37" s="2"/>
      <c r="R37" s="19">
        <f t="shared" si="9"/>
        <v>0</v>
      </c>
      <c r="S37" s="2"/>
      <c r="T37" s="2">
        <v>2165450</v>
      </c>
      <c r="U37" s="2"/>
      <c r="V37" s="19">
        <f t="shared" si="10"/>
        <v>0.72743733245543907</v>
      </c>
      <c r="W37" s="2"/>
      <c r="X37" s="2">
        <f t="shared" si="11"/>
        <v>-2165450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-29098.82</v>
      </c>
      <c r="E38" s="2"/>
      <c r="F38" s="19">
        <f t="shared" si="5"/>
        <v>-0.79065768812642145</v>
      </c>
      <c r="G38" s="2"/>
      <c r="H38" s="2"/>
      <c r="I38" s="2"/>
      <c r="J38" s="19">
        <f t="shared" si="6"/>
        <v>0</v>
      </c>
      <c r="K38" s="2"/>
      <c r="L38" s="2">
        <f t="shared" si="7"/>
        <v>-29098.82</v>
      </c>
      <c r="M38" s="2"/>
      <c r="N38" s="19">
        <f t="shared" si="8"/>
        <v>0</v>
      </c>
      <c r="O38" s="11"/>
      <c r="P38" s="2">
        <v>705987.44</v>
      </c>
      <c r="Q38" s="2"/>
      <c r="R38" s="19">
        <f t="shared" si="9"/>
        <v>0.36874720728434313</v>
      </c>
      <c r="S38" s="2"/>
      <c r="T38" s="2"/>
      <c r="U38" s="2"/>
      <c r="V38" s="19">
        <f t="shared" si="10"/>
        <v>0</v>
      </c>
      <c r="W38" s="2"/>
      <c r="X38" s="2">
        <f t="shared" si="11"/>
        <v>705987.44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-122237.26</v>
      </c>
      <c r="E39" s="2"/>
      <c r="F39" s="19">
        <f t="shared" si="5"/>
        <v>-3.3213659314882285</v>
      </c>
      <c r="G39" s="2"/>
      <c r="H39" s="2"/>
      <c r="I39" s="2"/>
      <c r="J39" s="19">
        <f t="shared" si="6"/>
        <v>0</v>
      </c>
      <c r="K39" s="2"/>
      <c r="L39" s="2">
        <f t="shared" si="7"/>
        <v>-122237.26</v>
      </c>
      <c r="M39" s="2"/>
      <c r="N39" s="19">
        <f t="shared" si="8"/>
        <v>0</v>
      </c>
      <c r="O39" s="11"/>
      <c r="P39" s="2">
        <v>32322.83</v>
      </c>
      <c r="Q39" s="2"/>
      <c r="R39" s="19">
        <f t="shared" si="9"/>
        <v>1.6882670453778309E-2</v>
      </c>
      <c r="S39" s="2"/>
      <c r="T39" s="2"/>
      <c r="U39" s="2"/>
      <c r="V39" s="19">
        <f t="shared" si="10"/>
        <v>0</v>
      </c>
      <c r="W39" s="2"/>
      <c r="X39" s="2">
        <f t="shared" si="11"/>
        <v>32322.83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32.520000000000003</v>
      </c>
      <c r="Q40" s="2"/>
      <c r="R40" s="19">
        <f t="shared" si="9"/>
        <v>1.6985655128491862E-5</v>
      </c>
      <c r="S40" s="2"/>
      <c r="T40" s="2"/>
      <c r="U40" s="2"/>
      <c r="V40" s="19">
        <f t="shared" si="10"/>
        <v>0</v>
      </c>
      <c r="W40" s="2"/>
      <c r="X40" s="2">
        <f t="shared" si="11"/>
        <v>32.520000000000003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887.88</v>
      </c>
      <c r="E41" s="2"/>
      <c r="F41" s="19">
        <f t="shared" si="5"/>
        <v>2.4125003973827362E-2</v>
      </c>
      <c r="G41" s="2"/>
      <c r="H41" s="2"/>
      <c r="I41" s="2"/>
      <c r="J41" s="19">
        <f t="shared" si="6"/>
        <v>0</v>
      </c>
      <c r="K41" s="2"/>
      <c r="L41" s="2">
        <f t="shared" si="7"/>
        <v>887.88</v>
      </c>
      <c r="M41" s="2"/>
      <c r="N41" s="19">
        <f t="shared" si="8"/>
        <v>0</v>
      </c>
      <c r="O41" s="11"/>
      <c r="P41" s="2">
        <v>207450.38</v>
      </c>
      <c r="Q41" s="2"/>
      <c r="R41" s="19">
        <f t="shared" si="9"/>
        <v>0.1083542623294768</v>
      </c>
      <c r="S41" s="2"/>
      <c r="T41" s="2"/>
      <c r="U41" s="2"/>
      <c r="V41" s="19">
        <f t="shared" si="10"/>
        <v>0</v>
      </c>
      <c r="W41" s="2"/>
      <c r="X41" s="2">
        <f t="shared" si="11"/>
        <v>207450.38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"5011", " - ", "PURCHASES @ COST-NO VALUE TEXT")</f>
        <v xml:space="preserve">          5011 - PURCHASES @ COST-NO VALUE TEXT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67.17</v>
      </c>
      <c r="Q42" s="2"/>
      <c r="R42" s="19">
        <f t="shared" si="9"/>
        <v>3.5083839329052836E-5</v>
      </c>
      <c r="S42" s="2"/>
      <c r="T42" s="2"/>
      <c r="U42" s="2"/>
      <c r="V42" s="19">
        <f t="shared" si="10"/>
        <v>0</v>
      </c>
      <c r="W42" s="2"/>
      <c r="X42" s="2">
        <f t="shared" si="11"/>
        <v>67.17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"5013", " - ", "PURCHASES @ COST-TRADE BOOKS")</f>
        <v xml:space="preserve">          5013 - PURCHASES @ COST-TRADE BOOKS</v>
      </c>
      <c r="C43" s="11"/>
      <c r="D43" s="2">
        <v>800</v>
      </c>
      <c r="E43" s="2"/>
      <c r="F43" s="19">
        <f t="shared" si="5"/>
        <v>2.1737175270376503E-2</v>
      </c>
      <c r="G43" s="2"/>
      <c r="H43" s="2"/>
      <c r="I43" s="2"/>
      <c r="J43" s="19">
        <f t="shared" si="6"/>
        <v>0</v>
      </c>
      <c r="K43" s="2"/>
      <c r="L43" s="2">
        <f t="shared" si="7"/>
        <v>800</v>
      </c>
      <c r="M43" s="2"/>
      <c r="N43" s="19">
        <f t="shared" si="8"/>
        <v>0</v>
      </c>
      <c r="O43" s="11"/>
      <c r="P43" s="2">
        <v>9670.02</v>
      </c>
      <c r="Q43" s="2"/>
      <c r="R43" s="19">
        <f t="shared" si="9"/>
        <v>5.0507879706524865E-3</v>
      </c>
      <c r="S43" s="2"/>
      <c r="T43" s="2"/>
      <c r="U43" s="2"/>
      <c r="V43" s="19">
        <f t="shared" si="10"/>
        <v>0</v>
      </c>
      <c r="W43" s="2"/>
      <c r="X43" s="2">
        <f t="shared" si="11"/>
        <v>9670.02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"5014", " - ", "PURCHASES @ COST-REMAINDERS")</f>
        <v xml:space="preserve">          5014 - PURCHASES @ COST-REMAINDERS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111.57</v>
      </c>
      <c r="Q44" s="2"/>
      <c r="R44" s="19">
        <f t="shared" si="9"/>
        <v>5.8274586183451318E-5</v>
      </c>
      <c r="S44" s="2"/>
      <c r="T44" s="2"/>
      <c r="U44" s="2"/>
      <c r="V44" s="19">
        <f t="shared" si="10"/>
        <v>0</v>
      </c>
      <c r="W44" s="2"/>
      <c r="X44" s="2">
        <f t="shared" si="11"/>
        <v>111.57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"5018", " - ", "PURCHASES @ COST-STUDY GUIDES")</f>
        <v xml:space="preserve">          5018 - PURCHASES @ COST-STUDY GUIDES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967.21</v>
      </c>
      <c r="Q45" s="2"/>
      <c r="R45" s="19">
        <f t="shared" si="9"/>
        <v>5.051874384018639E-4</v>
      </c>
      <c r="S45" s="2"/>
      <c r="T45" s="2"/>
      <c r="U45" s="2"/>
      <c r="V45" s="19">
        <f t="shared" si="10"/>
        <v>0</v>
      </c>
      <c r="W45" s="2"/>
      <c r="X45" s="2">
        <f t="shared" si="11"/>
        <v>967.21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149318.16</v>
      </c>
      <c r="E46" s="2"/>
      <c r="F46" s="19">
        <f t="shared" si="5"/>
        <v>4.0571937687126525</v>
      </c>
      <c r="G46" s="2"/>
      <c r="H46" s="2"/>
      <c r="I46" s="2"/>
      <c r="J46" s="19">
        <f t="shared" si="6"/>
        <v>0</v>
      </c>
      <c r="K46" s="2"/>
      <c r="L46" s="2">
        <f t="shared" si="7"/>
        <v>149318.16</v>
      </c>
      <c r="M46" s="2"/>
      <c r="N46" s="19">
        <f t="shared" si="8"/>
        <v>0</v>
      </c>
      <c r="O46" s="11"/>
      <c r="P46" s="2">
        <v>-1024895.97</v>
      </c>
      <c r="Q46" s="2"/>
      <c r="R46" s="19">
        <f t="shared" si="9"/>
        <v>-0.53531763496313467</v>
      </c>
      <c r="S46" s="2"/>
      <c r="T46" s="2"/>
      <c r="U46" s="2"/>
      <c r="V46" s="19">
        <f t="shared" si="10"/>
        <v>0</v>
      </c>
      <c r="W46" s="2"/>
      <c r="X46" s="2">
        <f t="shared" si="11"/>
        <v>-1024895.97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30994</v>
      </c>
      <c r="E47" s="2"/>
      <c r="F47" s="19">
        <f t="shared" si="5"/>
        <v>0.84215251291256166</v>
      </c>
      <c r="G47" s="2"/>
      <c r="H47" s="2"/>
      <c r="I47" s="2"/>
      <c r="J47" s="19">
        <f t="shared" si="6"/>
        <v>0</v>
      </c>
      <c r="K47" s="2"/>
      <c r="L47" s="2">
        <f t="shared" si="7"/>
        <v>30994</v>
      </c>
      <c r="M47" s="2"/>
      <c r="N47" s="19">
        <f t="shared" si="8"/>
        <v>0</v>
      </c>
      <c r="O47" s="11"/>
      <c r="P47" s="2">
        <v>1361322</v>
      </c>
      <c r="Q47" s="2"/>
      <c r="R47" s="19">
        <f t="shared" si="9"/>
        <v>0.71103770020998758</v>
      </c>
      <c r="S47" s="2"/>
      <c r="T47" s="2"/>
      <c r="U47" s="2"/>
      <c r="V47" s="19">
        <f t="shared" si="10"/>
        <v>0</v>
      </c>
      <c r="W47" s="2"/>
      <c r="X47" s="2">
        <f t="shared" si="11"/>
        <v>1361322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0</v>
      </c>
      <c r="Q48" s="2"/>
      <c r="R48" s="19">
        <f t="shared" si="9"/>
        <v>0</v>
      </c>
      <c r="S48" s="2"/>
      <c r="T48" s="2"/>
      <c r="U48" s="2"/>
      <c r="V48" s="19">
        <f t="shared" si="10"/>
        <v>0</v>
      </c>
      <c r="W48" s="2"/>
      <c r="X48" s="2">
        <f t="shared" si="11"/>
        <v>0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271.27</v>
      </c>
      <c r="E49" s="2"/>
      <c r="F49" s="19">
        <f t="shared" si="5"/>
        <v>7.3708044194937912E-3</v>
      </c>
      <c r="G49" s="2"/>
      <c r="H49" s="2"/>
      <c r="I49" s="2"/>
      <c r="J49" s="19">
        <f t="shared" si="6"/>
        <v>0</v>
      </c>
      <c r="K49" s="2"/>
      <c r="L49" s="2">
        <f t="shared" si="7"/>
        <v>271.27</v>
      </c>
      <c r="M49" s="2"/>
      <c r="N49" s="19">
        <f t="shared" si="8"/>
        <v>0</v>
      </c>
      <c r="O49" s="11"/>
      <c r="P49" s="2">
        <v>50313.73</v>
      </c>
      <c r="Q49" s="2"/>
      <c r="R49" s="19">
        <f t="shared" si="9"/>
        <v>2.6279571525462942E-2</v>
      </c>
      <c r="S49" s="2"/>
      <c r="T49" s="2"/>
      <c r="U49" s="2"/>
      <c r="V49" s="19">
        <f t="shared" si="10"/>
        <v>0</v>
      </c>
      <c r="W49" s="2"/>
      <c r="X49" s="2">
        <f t="shared" si="11"/>
        <v>50313.73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58.77</v>
      </c>
      <c r="E50" s="2"/>
      <c r="F50" s="19">
        <f t="shared" si="5"/>
        <v>1.5968672383000339E-3</v>
      </c>
      <c r="G50" s="2"/>
      <c r="H50" s="2"/>
      <c r="I50" s="2"/>
      <c r="J50" s="19">
        <f t="shared" si="6"/>
        <v>0</v>
      </c>
      <c r="K50" s="2"/>
      <c r="L50" s="2">
        <f t="shared" si="7"/>
        <v>58.77</v>
      </c>
      <c r="M50" s="2"/>
      <c r="N50" s="19">
        <f t="shared" si="8"/>
        <v>0</v>
      </c>
      <c r="O50" s="11"/>
      <c r="P50" s="2">
        <v>17858.900000000001</v>
      </c>
      <c r="Q50" s="2"/>
      <c r="R50" s="19">
        <f t="shared" si="9"/>
        <v>9.3279556080634474E-3</v>
      </c>
      <c r="S50" s="2"/>
      <c r="T50" s="2"/>
      <c r="U50" s="2"/>
      <c r="V50" s="19">
        <f t="shared" si="10"/>
        <v>0</v>
      </c>
      <c r="W50" s="2"/>
      <c r="X50" s="2">
        <f t="shared" si="11"/>
        <v>17858.900000000001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"5504", " - ", "FREIGHT-IN-DIGITAL TEXT")</f>
        <v xml:space="preserve">          5504 - FREIGHT-IN-DIGITAL TEXT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28.92</v>
      </c>
      <c r="Q51" s="2"/>
      <c r="R51" s="19">
        <f t="shared" si="9"/>
        <v>1.5105324302459553E-5</v>
      </c>
      <c r="S51" s="2"/>
      <c r="T51" s="2"/>
      <c r="U51" s="2"/>
      <c r="V51" s="19">
        <f t="shared" si="10"/>
        <v>0</v>
      </c>
      <c r="W51" s="2"/>
      <c r="X51" s="2">
        <f t="shared" si="11"/>
        <v>28.92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"5513", " - ", "FREIGHT-IN-TRADE BOOKS")</f>
        <v xml:space="preserve">          5513 - FREIGHT-IN-TRADE BOOKS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85.28</v>
      </c>
      <c r="Q52" s="2"/>
      <c r="R52" s="19">
        <f t="shared" si="9"/>
        <v>4.4542948012232038E-5</v>
      </c>
      <c r="S52" s="2"/>
      <c r="T52" s="2"/>
      <c r="U52" s="2"/>
      <c r="V52" s="19">
        <f t="shared" si="10"/>
        <v>0</v>
      </c>
      <c r="W52" s="2"/>
      <c r="X52" s="2">
        <f t="shared" si="11"/>
        <v>85.28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108</v>
      </c>
      <c r="C54" s="28"/>
      <c r="D54" s="21">
        <f>D12-D36</f>
        <v>5809.3099999999686</v>
      </c>
      <c r="E54" s="14"/>
      <c r="F54" s="20">
        <f>IF(D$12=0,0,D54/D$12)</f>
        <v>0.15784748708743779</v>
      </c>
      <c r="G54" s="14"/>
      <c r="H54" s="21">
        <f>H12-H36</f>
        <v>4742</v>
      </c>
      <c r="I54" s="14"/>
      <c r="J54" s="20">
        <f>IF(H$12=0,0,H54/H$12)</f>
        <v>0.26998405830107036</v>
      </c>
      <c r="K54" s="16"/>
      <c r="L54" s="21">
        <f>+D54-H54</f>
        <v>1067.3099999999686</v>
      </c>
      <c r="M54" s="16"/>
      <c r="N54" s="20">
        <f>IF(H54=0,0,L54/H54)</f>
        <v>0.2250759173344514</v>
      </c>
      <c r="O54" s="29"/>
      <c r="P54" s="21">
        <f>P12-P36</f>
        <v>553234.71</v>
      </c>
      <c r="Q54" s="14"/>
      <c r="R54" s="20">
        <f>IF(P$12=0,0,P54/P$12)</f>
        <v>0.28896229979001253</v>
      </c>
      <c r="S54" s="14"/>
      <c r="T54" s="21">
        <f>T12-T36</f>
        <v>811370</v>
      </c>
      <c r="U54" s="14"/>
      <c r="V54" s="20">
        <f>IF(T$12=0,0,T54/T$12)</f>
        <v>0.27256266754456099</v>
      </c>
      <c r="W54" s="16"/>
      <c r="X54" s="21">
        <f>+P54-T54</f>
        <v>-258135.29000000004</v>
      </c>
      <c r="Y54" s="16"/>
      <c r="Z54" s="20">
        <f>IF(T54=0,0,X54/T54)</f>
        <v>-0.31814744198084727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295</v>
      </c>
      <c r="C56" s="10"/>
      <c r="D56" s="22">
        <f>SUM(OSRRefD22x_0)</f>
        <v>52574.149999999994</v>
      </c>
      <c r="E56" s="22"/>
      <c r="F56" s="32">
        <f t="shared" ref="F56:F67" si="13">IF(D$12=0,0,D56/D$12)</f>
        <v>1.4285168915513309</v>
      </c>
      <c r="G56" s="22"/>
      <c r="H56" s="22">
        <f>SUM(OSRRefH22x_0)</f>
        <v>52455.399279826939</v>
      </c>
      <c r="I56" s="22"/>
      <c r="J56" s="32">
        <f t="shared" ref="J56:J67" si="14">IF(H$12=0,0,H56/H$12)</f>
        <v>2.9865292234016705</v>
      </c>
      <c r="K56" s="4"/>
      <c r="L56" s="22">
        <f t="shared" ref="L56:L67" si="15">+D56-H56</f>
        <v>118.75072017305502</v>
      </c>
      <c r="M56" s="4"/>
      <c r="N56" s="32">
        <f t="shared" ref="N56:N67" si="16">IF(H56=0,0,L56/H56)</f>
        <v>2.2638416979646105E-3</v>
      </c>
      <c r="O56" s="10"/>
      <c r="P56" s="22">
        <f>SUM(OSRRefP22x_0)</f>
        <v>461844.33999999991</v>
      </c>
      <c r="Q56" s="22"/>
      <c r="R56" s="32">
        <f t="shared" ref="R56:R67" si="17">IF(P$12=0,0,P56/P$12)</f>
        <v>0.24122781925848516</v>
      </c>
      <c r="S56" s="22"/>
      <c r="T56" s="22">
        <f>SUM(OSRRefT22x_0)</f>
        <v>557332.25602797652</v>
      </c>
      <c r="U56" s="22"/>
      <c r="V56" s="32">
        <f t="shared" ref="V56:V67" si="18">IF(T$12=0,0,T56/T$12)</f>
        <v>0.18722403639722138</v>
      </c>
      <c r="W56" s="4"/>
      <c r="X56" s="22">
        <f t="shared" ref="X56:X67" si="19">+P56-T56</f>
        <v>-95487.916027976607</v>
      </c>
      <c r="Y56" s="4"/>
      <c r="Z56" s="32">
        <f t="shared" ref="Z56:Z67" si="20">IF(T56=0,0,X56/T56)</f>
        <v>-0.17133032404853915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14359.289999999997</v>
      </c>
      <c r="E57" s="1"/>
      <c r="F57" s="5">
        <f t="shared" si="13"/>
        <v>0.39016300436020568</v>
      </c>
      <c r="G57" s="1"/>
      <c r="H57" s="1">
        <f>SUM(OSRRefH22_0x_0)</f>
        <v>13074.771600211543</v>
      </c>
      <c r="I57" s="1"/>
      <c r="J57" s="5">
        <f t="shared" si="14"/>
        <v>0.74440740151511864</v>
      </c>
      <c r="K57" s="1"/>
      <c r="L57" s="1">
        <f t="shared" si="15"/>
        <v>1284.5183997884542</v>
      </c>
      <c r="M57" s="1"/>
      <c r="N57" s="5">
        <f t="shared" si="16"/>
        <v>9.8244041201275847E-2</v>
      </c>
      <c r="O57" s="13"/>
      <c r="P57" s="1">
        <f>SUM(OSRRefP22_0x_0)</f>
        <v>120169.99</v>
      </c>
      <c r="Q57" s="1"/>
      <c r="R57" s="5">
        <f t="shared" si="17"/>
        <v>6.2766482378053989E-2</v>
      </c>
      <c r="S57" s="1"/>
      <c r="T57" s="1">
        <f>SUM(OSRRefT22_0x_0)</f>
        <v>125653.73619736155</v>
      </c>
      <c r="U57" s="1"/>
      <c r="V57" s="5">
        <f t="shared" si="18"/>
        <v>4.2210726949349152E-2</v>
      </c>
      <c r="W57" s="1"/>
      <c r="X57" s="1">
        <f t="shared" si="19"/>
        <v>-5483.7461973615427</v>
      </c>
      <c r="Y57" s="1"/>
      <c r="Z57" s="5">
        <f t="shared" si="20"/>
        <v>-4.3641728159585669E-2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2997.29</v>
      </c>
      <c r="E58" s="2"/>
      <c r="F58" s="6">
        <f t="shared" si="13"/>
        <v>8.1440772582683479E-2</v>
      </c>
      <c r="G58" s="2"/>
      <c r="H58" s="7">
        <v>1960.39645367308</v>
      </c>
      <c r="I58" s="2"/>
      <c r="J58" s="6">
        <f t="shared" si="14"/>
        <v>0.11161446445417217</v>
      </c>
      <c r="K58" s="2"/>
      <c r="L58" s="7">
        <f t="shared" si="15"/>
        <v>1036.8935463269199</v>
      </c>
      <c r="M58" s="2"/>
      <c r="N58" s="6">
        <f t="shared" si="16"/>
        <v>0.52892033363157398</v>
      </c>
      <c r="O58" s="11"/>
      <c r="P58" s="7">
        <v>21909.06</v>
      </c>
      <c r="Q58" s="2"/>
      <c r="R58" s="6">
        <f t="shared" si="17"/>
        <v>1.144341135760873E-2</v>
      </c>
      <c r="S58" s="2"/>
      <c r="T58" s="7">
        <v>19435.720999448102</v>
      </c>
      <c r="U58" s="2"/>
      <c r="V58" s="6">
        <f t="shared" si="18"/>
        <v>6.5290212372424604E-3</v>
      </c>
      <c r="W58" s="2"/>
      <c r="X58" s="7">
        <f t="shared" si="19"/>
        <v>2473.3390005518995</v>
      </c>
      <c r="Y58" s="2"/>
      <c r="Z58" s="6">
        <f t="shared" si="20"/>
        <v>0.1272573834859089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137.72</v>
      </c>
      <c r="E59" s="2"/>
      <c r="F59" s="6">
        <f t="shared" si="13"/>
        <v>3.7420547227953148E-3</v>
      </c>
      <c r="G59" s="2"/>
      <c r="H59" s="7">
        <v>621.42289807692305</v>
      </c>
      <c r="I59" s="2"/>
      <c r="J59" s="6">
        <f t="shared" si="14"/>
        <v>3.5380488389713222E-2</v>
      </c>
      <c r="K59" s="2"/>
      <c r="L59" s="7">
        <f t="shared" si="15"/>
        <v>-483.70289807692302</v>
      </c>
      <c r="M59" s="2"/>
      <c r="N59" s="6">
        <f t="shared" si="16"/>
        <v>-0.77837958590487555</v>
      </c>
      <c r="O59" s="11"/>
      <c r="P59" s="7">
        <v>1185.44</v>
      </c>
      <c r="Q59" s="2"/>
      <c r="R59" s="6">
        <f t="shared" si="17"/>
        <v>6.1917204844770578E-4</v>
      </c>
      <c r="S59" s="2"/>
      <c r="T59" s="7">
        <v>6695.6449337019203</v>
      </c>
      <c r="U59" s="2"/>
      <c r="V59" s="6">
        <f t="shared" si="18"/>
        <v>2.2492609340510747E-3</v>
      </c>
      <c r="W59" s="2"/>
      <c r="X59" s="7">
        <f t="shared" si="19"/>
        <v>-5510.2049337019198</v>
      </c>
      <c r="Y59" s="2"/>
      <c r="Z59" s="6">
        <f t="shared" si="20"/>
        <v>-0.82295357478811404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4943.91</v>
      </c>
      <c r="E60" s="2"/>
      <c r="F60" s="6">
        <f t="shared" si="13"/>
        <v>0.13433329773870886</v>
      </c>
      <c r="G60" s="2"/>
      <c r="H60" s="7">
        <v>4969.6153846153802</v>
      </c>
      <c r="I60" s="2"/>
      <c r="J60" s="6">
        <f t="shared" si="14"/>
        <v>0.28294325806282056</v>
      </c>
      <c r="K60" s="2"/>
      <c r="L60" s="7">
        <f t="shared" si="15"/>
        <v>-25.705384615380353</v>
      </c>
      <c r="M60" s="2"/>
      <c r="N60" s="6">
        <f t="shared" si="16"/>
        <v>-5.1725098676564489E-3</v>
      </c>
      <c r="O60" s="11"/>
      <c r="P60" s="7">
        <v>45163.86</v>
      </c>
      <c r="Q60" s="2"/>
      <c r="R60" s="6">
        <f t="shared" si="17"/>
        <v>2.3589721716835439E-2</v>
      </c>
      <c r="S60" s="2"/>
      <c r="T60" s="7">
        <v>47854.615384615397</v>
      </c>
      <c r="U60" s="2"/>
      <c r="V60" s="6">
        <f t="shared" si="18"/>
        <v>1.607575042650056E-2</v>
      </c>
      <c r="W60" s="2"/>
      <c r="X60" s="7">
        <f t="shared" si="19"/>
        <v>-2690.7553846153969</v>
      </c>
      <c r="Y60" s="2"/>
      <c r="Z60" s="6">
        <f t="shared" si="20"/>
        <v>-5.6227708926074406E-2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91.65</v>
      </c>
      <c r="E61" s="2"/>
      <c r="F61" s="6">
        <f t="shared" si="13"/>
        <v>2.490265141912508E-3</v>
      </c>
      <c r="G61" s="2"/>
      <c r="H61" s="7">
        <v>87.33511</v>
      </c>
      <c r="I61" s="2"/>
      <c r="J61" s="6">
        <f t="shared" si="14"/>
        <v>4.9723929628786153E-3</v>
      </c>
      <c r="K61" s="2"/>
      <c r="L61" s="7">
        <f t="shared" si="15"/>
        <v>4.3148900000000054</v>
      </c>
      <c r="M61" s="2"/>
      <c r="N61" s="6">
        <f t="shared" si="16"/>
        <v>4.9406132310361839E-2</v>
      </c>
      <c r="O61" s="11"/>
      <c r="P61" s="7">
        <v>762.51</v>
      </c>
      <c r="Q61" s="2"/>
      <c r="R61" s="6">
        <f t="shared" si="17"/>
        <v>3.982697383771934E-4</v>
      </c>
      <c r="S61" s="2"/>
      <c r="T61" s="7">
        <v>941.00955825000005</v>
      </c>
      <c r="U61" s="2"/>
      <c r="V61" s="6">
        <f t="shared" si="18"/>
        <v>3.1611234748825932E-4</v>
      </c>
      <c r="W61" s="2"/>
      <c r="X61" s="7">
        <f t="shared" si="19"/>
        <v>-178.49955825000006</v>
      </c>
      <c r="Y61" s="2"/>
      <c r="Z61" s="6">
        <f t="shared" si="20"/>
        <v>-0.18968942098947064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1722.62</v>
      </c>
      <c r="E62" s="2"/>
      <c r="F62" s="6">
        <f t="shared" si="13"/>
        <v>4.6806116080319961E-2</v>
      </c>
      <c r="G62" s="2"/>
      <c r="H62" s="7">
        <v>1585.67246538462</v>
      </c>
      <c r="I62" s="2"/>
      <c r="J62" s="6">
        <f t="shared" si="14"/>
        <v>9.0279689443442265E-2</v>
      </c>
      <c r="K62" s="2"/>
      <c r="L62" s="7">
        <f t="shared" si="15"/>
        <v>136.94753461537994</v>
      </c>
      <c r="M62" s="2"/>
      <c r="N62" s="6">
        <f t="shared" si="16"/>
        <v>8.6365587853076589E-2</v>
      </c>
      <c r="O62" s="11"/>
      <c r="P62" s="7">
        <v>18464.349999999999</v>
      </c>
      <c r="Q62" s="2"/>
      <c r="R62" s="6">
        <f t="shared" si="17"/>
        <v>9.6441906910137969E-3</v>
      </c>
      <c r="S62" s="2"/>
      <c r="T62" s="7">
        <v>13953.9176953846</v>
      </c>
      <c r="U62" s="2"/>
      <c r="V62" s="6">
        <f t="shared" si="18"/>
        <v>4.6875248403949856E-3</v>
      </c>
      <c r="W62" s="2"/>
      <c r="X62" s="7">
        <f t="shared" si="19"/>
        <v>4510.4323046153986</v>
      </c>
      <c r="Y62" s="2"/>
      <c r="Z62" s="6">
        <f t="shared" si="20"/>
        <v>0.32323770306508759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3"/>
        <v>0</v>
      </c>
      <c r="G63" s="2"/>
      <c r="H63" s="7">
        <v>0</v>
      </c>
      <c r="I63" s="2"/>
      <c r="J63" s="6">
        <f t="shared" si="14"/>
        <v>0</v>
      </c>
      <c r="K63" s="2"/>
      <c r="L63" s="7">
        <f t="shared" si="15"/>
        <v>0</v>
      </c>
      <c r="M63" s="2"/>
      <c r="N63" s="6">
        <f t="shared" si="16"/>
        <v>0</v>
      </c>
      <c r="O63" s="11"/>
      <c r="P63" s="7"/>
      <c r="Q63" s="2"/>
      <c r="R63" s="6">
        <f t="shared" si="17"/>
        <v>0</v>
      </c>
      <c r="S63" s="2"/>
      <c r="T63" s="7">
        <v>0</v>
      </c>
      <c r="U63" s="2"/>
      <c r="V63" s="6">
        <f t="shared" si="18"/>
        <v>0</v>
      </c>
      <c r="W63" s="2"/>
      <c r="X63" s="7">
        <f t="shared" si="19"/>
        <v>0</v>
      </c>
      <c r="Y63" s="2"/>
      <c r="Z63" s="6">
        <f t="shared" si="20"/>
        <v>0</v>
      </c>
    </row>
    <row r="64" spans="1:26" s="24" customFormat="1" hidden="1" outlineLevel="2" x14ac:dyDescent="0.25">
      <c r="A64" s="26"/>
      <c r="B64" s="11" t="str">
        <f>CONCATENATE("          ", "6117", " - ", "RETIREMENT STAFF HOURLY")</f>
        <v xml:space="preserve">          6117 - RETIREMENT STAFF HOURLY</v>
      </c>
      <c r="C64" s="11"/>
      <c r="D64" s="7">
        <v>246.24</v>
      </c>
      <c r="E64" s="2"/>
      <c r="F64" s="6">
        <f t="shared" si="13"/>
        <v>6.6907025482218878E-3</v>
      </c>
      <c r="G64" s="2"/>
      <c r="H64" s="7"/>
      <c r="I64" s="2"/>
      <c r="J64" s="6">
        <f t="shared" si="14"/>
        <v>0</v>
      </c>
      <c r="K64" s="2"/>
      <c r="L64" s="7">
        <f t="shared" si="15"/>
        <v>246.24</v>
      </c>
      <c r="M64" s="2"/>
      <c r="N64" s="6">
        <f t="shared" si="16"/>
        <v>0</v>
      </c>
      <c r="O64" s="11"/>
      <c r="P64" s="7">
        <v>2755.82</v>
      </c>
      <c r="Q64" s="2"/>
      <c r="R64" s="6">
        <f t="shared" si="17"/>
        <v>1.4394036936100998E-3</v>
      </c>
      <c r="S64" s="2"/>
      <c r="T64" s="7"/>
      <c r="U64" s="2"/>
      <c r="V64" s="6">
        <f t="shared" si="18"/>
        <v>0</v>
      </c>
      <c r="W64" s="2"/>
      <c r="X64" s="7">
        <f t="shared" si="19"/>
        <v>2755.82</v>
      </c>
      <c r="Y64" s="2"/>
      <c r="Z64" s="6">
        <f t="shared" si="20"/>
        <v>0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7">
        <v>2466.27</v>
      </c>
      <c r="E65" s="2"/>
      <c r="F65" s="6">
        <f t="shared" si="13"/>
        <v>6.7012179067589314E-2</v>
      </c>
      <c r="G65" s="2"/>
      <c r="H65" s="7">
        <v>1682.75965</v>
      </c>
      <c r="I65" s="2"/>
      <c r="J65" s="6">
        <f t="shared" si="14"/>
        <v>9.5807313254383963E-2</v>
      </c>
      <c r="K65" s="2"/>
      <c r="L65" s="7">
        <f t="shared" si="15"/>
        <v>783.51035000000002</v>
      </c>
      <c r="M65" s="2"/>
      <c r="N65" s="6">
        <f t="shared" si="16"/>
        <v>0.46561037400676919</v>
      </c>
      <c r="O65" s="11"/>
      <c r="P65" s="7">
        <v>14500.95</v>
      </c>
      <c r="Q65" s="2"/>
      <c r="R65" s="6">
        <f t="shared" si="17"/>
        <v>7.5740509143758933E-3</v>
      </c>
      <c r="S65" s="2"/>
      <c r="T65" s="7">
        <v>14808.28492</v>
      </c>
      <c r="U65" s="2"/>
      <c r="V65" s="6">
        <f t="shared" si="18"/>
        <v>4.9745315202128449E-3</v>
      </c>
      <c r="W65" s="2"/>
      <c r="X65" s="7">
        <f t="shared" si="19"/>
        <v>-307.33491999999933</v>
      </c>
      <c r="Y65" s="2"/>
      <c r="Z65" s="6">
        <f t="shared" si="20"/>
        <v>-2.0754254909352416E-2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7">
        <v>1289.8800000000001</v>
      </c>
      <c r="E66" s="2"/>
      <c r="F66" s="6">
        <f t="shared" si="13"/>
        <v>3.5047934547191559E-2</v>
      </c>
      <c r="G66" s="2"/>
      <c r="H66" s="7">
        <v>1417.5696384615401</v>
      </c>
      <c r="I66" s="2"/>
      <c r="J66" s="6">
        <f t="shared" si="14"/>
        <v>8.0708815671916428E-2</v>
      </c>
      <c r="K66" s="2"/>
      <c r="L66" s="7">
        <f t="shared" si="15"/>
        <v>-127.68963846153997</v>
      </c>
      <c r="M66" s="2"/>
      <c r="N66" s="6">
        <f t="shared" si="16"/>
        <v>-9.0076448448852903E-2</v>
      </c>
      <c r="O66" s="11"/>
      <c r="P66" s="7">
        <v>11176.9</v>
      </c>
      <c r="Q66" s="2"/>
      <c r="R66" s="6">
        <f t="shared" si="17"/>
        <v>5.8378526693001441E-3</v>
      </c>
      <c r="S66" s="2"/>
      <c r="T66" s="7">
        <v>14464.542705961499</v>
      </c>
      <c r="U66" s="2"/>
      <c r="V66" s="6">
        <f t="shared" si="18"/>
        <v>4.8590585611362124E-3</v>
      </c>
      <c r="W66" s="2"/>
      <c r="X66" s="7">
        <f t="shared" si="19"/>
        <v>-3287.6427059614998</v>
      </c>
      <c r="Y66" s="2"/>
      <c r="Z66" s="6">
        <f t="shared" si="20"/>
        <v>-0.2272897783769211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7">
        <v>463.71</v>
      </c>
      <c r="E67" s="2"/>
      <c r="F67" s="6">
        <f t="shared" si="13"/>
        <v>1.2599681930782859E-2</v>
      </c>
      <c r="G67" s="2"/>
      <c r="H67" s="7">
        <v>750</v>
      </c>
      <c r="I67" s="2"/>
      <c r="J67" s="6">
        <f t="shared" si="14"/>
        <v>4.270097927579139E-2</v>
      </c>
      <c r="K67" s="2"/>
      <c r="L67" s="7">
        <f t="shared" si="15"/>
        <v>-286.29000000000002</v>
      </c>
      <c r="M67" s="2"/>
      <c r="N67" s="6">
        <f t="shared" si="16"/>
        <v>-0.38172</v>
      </c>
      <c r="O67" s="11"/>
      <c r="P67" s="7">
        <v>4251.1000000000004</v>
      </c>
      <c r="Q67" s="2"/>
      <c r="R67" s="6">
        <f t="shared" si="17"/>
        <v>2.2204095484849862E-3</v>
      </c>
      <c r="S67" s="2"/>
      <c r="T67" s="7">
        <v>7500</v>
      </c>
      <c r="U67" s="2"/>
      <c r="V67" s="6">
        <f t="shared" si="18"/>
        <v>2.5194670823227472E-3</v>
      </c>
      <c r="W67" s="2"/>
      <c r="X67" s="7">
        <f t="shared" si="19"/>
        <v>-3248.8999999999996</v>
      </c>
      <c r="Y67" s="2"/>
      <c r="Z67" s="6">
        <f t="shared" si="20"/>
        <v>-0.43318666666666661</v>
      </c>
    </row>
    <row r="68" spans="1:26" s="25" customFormat="1" outlineLevel="1" collapsed="1" x14ac:dyDescent="0.25">
      <c r="A68" s="27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29075.89</v>
      </c>
      <c r="E68" s="1"/>
      <c r="F68" s="5">
        <f t="shared" ref="F68:F78" si="21">IF(D$12=0,0,D68/D$12)</f>
        <v>0.79003464634023424</v>
      </c>
      <c r="G68" s="1"/>
      <c r="H68" s="1">
        <f>SUM(OSRRefH22_1x_0)</f>
        <v>30965.627679615402</v>
      </c>
      <c r="I68" s="1"/>
      <c r="J68" s="5">
        <f t="shared" ref="J68:J78" si="22">IF(H$12=0,0,H68/H$12)</f>
        <v>1.7630168344121726</v>
      </c>
      <c r="K68" s="1"/>
      <c r="L68" s="1">
        <f t="shared" ref="L68:L78" si="23">+D68-H68</f>
        <v>-1889.7376796154022</v>
      </c>
      <c r="M68" s="1"/>
      <c r="N68" s="5">
        <f t="shared" ref="N68:N78" si="24">IF(H68=0,0,L68/H68)</f>
        <v>-6.102694572083265E-2</v>
      </c>
      <c r="O68" s="13"/>
      <c r="P68" s="1">
        <f>SUM(OSRRefP22_1x_0)</f>
        <v>282209.40999999997</v>
      </c>
      <c r="Q68" s="1"/>
      <c r="R68" s="5">
        <f t="shared" ref="R68:R78" si="25">IF(P$12=0,0,P68/P$12)</f>
        <v>0.14740195917205295</v>
      </c>
      <c r="S68" s="1"/>
      <c r="T68" s="1">
        <f>SUM(OSRRefT22_1x_0)</f>
        <v>338828.51983061503</v>
      </c>
      <c r="U68" s="1"/>
      <c r="V68" s="5">
        <f t="shared" ref="V68:V78" si="26">IF(T$12=0,0,T68/T$12)</f>
        <v>0.11382230696871663</v>
      </c>
      <c r="W68" s="1"/>
      <c r="X68" s="1">
        <f t="shared" ref="X68:X78" si="27">+P68-T68</f>
        <v>-56619.109830615052</v>
      </c>
      <c r="Y68" s="1"/>
      <c r="Z68" s="5">
        <f t="shared" ref="Z68:Z78" si="28">IF(T68=0,0,X68/T68)</f>
        <v>-0.16710255045507891</v>
      </c>
    </row>
    <row r="69" spans="1:26" s="24" customFormat="1" hidden="1" outlineLevel="2" x14ac:dyDescent="0.25">
      <c r="A69" s="26"/>
      <c r="B69" s="11" t="str">
        <f>CONCATENATE("          ", "6001", " - ", "ADMINISTRATIVE SALARIES")</f>
        <v xml:space="preserve">          6001 - ADMINISTRATIVE SALARIES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>
        <v>-311.32</v>
      </c>
      <c r="Q69" s="2"/>
      <c r="R69" s="6">
        <f t="shared" si="25"/>
        <v>-1.6260683132232736E-4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-311.32</v>
      </c>
      <c r="Y69" s="2"/>
      <c r="Z69" s="6">
        <f t="shared" si="28"/>
        <v>0</v>
      </c>
    </row>
    <row r="70" spans="1:26" s="24" customFormat="1" hidden="1" outlineLevel="2" x14ac:dyDescent="0.25">
      <c r="A70" s="26"/>
      <c r="B70" s="11" t="str">
        <f>CONCATENATE("          ", "6002", " - ", "STAFF SALARIES")</f>
        <v xml:space="preserve">          6002 - STAFF SALARIES</v>
      </c>
      <c r="C70" s="11"/>
      <c r="D70" s="7">
        <v>19208.37</v>
      </c>
      <c r="E70" s="2"/>
      <c r="F70" s="6">
        <f t="shared" si="21"/>
        <v>0.52191963168530231</v>
      </c>
      <c r="G70" s="2"/>
      <c r="H70" s="7">
        <v>16384.0650796154</v>
      </c>
      <c r="I70" s="2"/>
      <c r="J70" s="6">
        <f t="shared" si="22"/>
        <v>0.93282083122383286</v>
      </c>
      <c r="K70" s="2"/>
      <c r="L70" s="7">
        <f t="shared" si="23"/>
        <v>2824.3049203845985</v>
      </c>
      <c r="M70" s="2"/>
      <c r="N70" s="6">
        <f t="shared" si="24"/>
        <v>0.17238120739025387</v>
      </c>
      <c r="O70" s="11"/>
      <c r="P70" s="7">
        <v>173924.05</v>
      </c>
      <c r="Q70" s="2"/>
      <c r="R70" s="6">
        <f t="shared" si="25"/>
        <v>9.0842986834273512E-2</v>
      </c>
      <c r="S70" s="2"/>
      <c r="T70" s="7">
        <v>144179.77270061499</v>
      </c>
      <c r="U70" s="2"/>
      <c r="V70" s="6">
        <f t="shared" si="26"/>
        <v>4.8434158834130041E-2</v>
      </c>
      <c r="W70" s="2"/>
      <c r="X70" s="7">
        <f t="shared" si="27"/>
        <v>29744.277299384994</v>
      </c>
      <c r="Y70" s="2"/>
      <c r="Z70" s="6">
        <f t="shared" si="28"/>
        <v>0.20629993196859936</v>
      </c>
    </row>
    <row r="71" spans="1:26" s="24" customFormat="1" hidden="1" outlineLevel="2" x14ac:dyDescent="0.25">
      <c r="A71" s="26"/>
      <c r="B71" s="11" t="str">
        <f>CONCATENATE("          ", "6003", " - ", "STAFF HOURLY-9 MONTH")</f>
        <v xml:space="preserve">          6003 - STAFF HOURLY-9 MONTH</v>
      </c>
      <c r="C71" s="11"/>
      <c r="D71" s="7"/>
      <c r="E71" s="2"/>
      <c r="F71" s="6">
        <f t="shared" si="21"/>
        <v>0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0</v>
      </c>
      <c r="M71" s="2"/>
      <c r="N71" s="6">
        <f t="shared" si="24"/>
        <v>0</v>
      </c>
      <c r="O71" s="11"/>
      <c r="P71" s="7"/>
      <c r="Q71" s="2"/>
      <c r="R71" s="6">
        <f t="shared" si="25"/>
        <v>0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0</v>
      </c>
      <c r="Y71" s="2"/>
      <c r="Z71" s="6">
        <f t="shared" si="28"/>
        <v>0</v>
      </c>
    </row>
    <row r="72" spans="1:26" s="24" customFormat="1" hidden="1" outlineLevel="2" x14ac:dyDescent="0.25">
      <c r="A72" s="26"/>
      <c r="B72" s="11" t="str">
        <f>CONCATENATE("          ", "6004", " - ", "STAFF HOURLY")</f>
        <v xml:space="preserve">          6004 - STAFF HOURLY</v>
      </c>
      <c r="C72" s="11"/>
      <c r="D72" s="7">
        <v>8559.48</v>
      </c>
      <c r="E72" s="2"/>
      <c r="F72" s="6">
        <f t="shared" si="21"/>
        <v>0.23257364622910282</v>
      </c>
      <c r="G72" s="2"/>
      <c r="H72" s="7">
        <v>6607.1876000000002</v>
      </c>
      <c r="I72" s="2"/>
      <c r="J72" s="6">
        <f t="shared" si="22"/>
        <v>0.37617784103848784</v>
      </c>
      <c r="K72" s="2"/>
      <c r="L72" s="7">
        <f t="shared" si="23"/>
        <v>1952.2923999999994</v>
      </c>
      <c r="M72" s="2"/>
      <c r="N72" s="6">
        <f t="shared" si="24"/>
        <v>0.29548009201373354</v>
      </c>
      <c r="O72" s="11"/>
      <c r="P72" s="7">
        <v>68298.740000000005</v>
      </c>
      <c r="Q72" s="2"/>
      <c r="R72" s="6">
        <f t="shared" si="25"/>
        <v>3.5673396166990536E-2</v>
      </c>
      <c r="S72" s="2"/>
      <c r="T72" s="7">
        <v>58143.25088</v>
      </c>
      <c r="U72" s="2"/>
      <c r="V72" s="6">
        <f t="shared" si="26"/>
        <v>1.9532000886852412E-2</v>
      </c>
      <c r="W72" s="2"/>
      <c r="X72" s="7">
        <f t="shared" si="27"/>
        <v>10155.489120000006</v>
      </c>
      <c r="Y72" s="2"/>
      <c r="Z72" s="6">
        <f t="shared" si="28"/>
        <v>0.1746632492386708</v>
      </c>
    </row>
    <row r="73" spans="1:26" s="24" customFormat="1" hidden="1" outlineLevel="2" x14ac:dyDescent="0.25">
      <c r="A73" s="26"/>
      <c r="B73" s="11" t="str">
        <f>CONCATENATE("          ", "6005", " - ", "TEMPORARY WAGES-HOURLY")</f>
        <v xml:space="preserve">          6005 - TEMPORARY WAGES-HOURLY</v>
      </c>
      <c r="C73" s="11"/>
      <c r="D73" s="7">
        <v>2368.27</v>
      </c>
      <c r="E73" s="2"/>
      <c r="F73" s="6">
        <f t="shared" si="21"/>
        <v>6.4349375096968198E-2</v>
      </c>
      <c r="G73" s="2"/>
      <c r="H73" s="7">
        <v>3705</v>
      </c>
      <c r="I73" s="2"/>
      <c r="J73" s="6">
        <f t="shared" si="22"/>
        <v>0.21094283762240948</v>
      </c>
      <c r="K73" s="2"/>
      <c r="L73" s="7">
        <f t="shared" si="23"/>
        <v>-1336.73</v>
      </c>
      <c r="M73" s="2"/>
      <c r="N73" s="6">
        <f t="shared" si="24"/>
        <v>-0.36079082321187583</v>
      </c>
      <c r="O73" s="11"/>
      <c r="P73" s="7">
        <v>15685.16</v>
      </c>
      <c r="Q73" s="2"/>
      <c r="R73" s="6">
        <f t="shared" si="25"/>
        <v>8.1925805164580374E-3</v>
      </c>
      <c r="S73" s="2"/>
      <c r="T73" s="7">
        <v>35620.44</v>
      </c>
      <c r="U73" s="2"/>
      <c r="V73" s="6">
        <f t="shared" si="26"/>
        <v>1.1965936805046998E-2</v>
      </c>
      <c r="W73" s="2"/>
      <c r="X73" s="7">
        <f t="shared" si="27"/>
        <v>-19935.280000000002</v>
      </c>
      <c r="Y73" s="2"/>
      <c r="Z73" s="6">
        <f t="shared" si="28"/>
        <v>-0.55965844329828607</v>
      </c>
    </row>
    <row r="74" spans="1:26" s="24" customFormat="1" hidden="1" outlineLevel="2" x14ac:dyDescent="0.25">
      <c r="A74" s="26"/>
      <c r="B74" s="11" t="str">
        <f>CONCATENATE("          ", "6006", " - ", "TEMPORARY PART TIME")</f>
        <v xml:space="preserve">          6006 - TEMPORARY PART TIME</v>
      </c>
      <c r="C74" s="11"/>
      <c r="D74" s="7"/>
      <c r="E74" s="2"/>
      <c r="F74" s="6">
        <f t="shared" si="21"/>
        <v>0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0</v>
      </c>
      <c r="M74" s="2"/>
      <c r="N74" s="6">
        <f t="shared" si="24"/>
        <v>0</v>
      </c>
      <c r="O74" s="11"/>
      <c r="P74" s="7">
        <v>502.29</v>
      </c>
      <c r="Q74" s="2"/>
      <c r="R74" s="6">
        <f t="shared" si="25"/>
        <v>2.6235315850215796E-4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502.29</v>
      </c>
      <c r="Y74" s="2"/>
      <c r="Z74" s="6">
        <f t="shared" si="28"/>
        <v>0</v>
      </c>
    </row>
    <row r="75" spans="1:26" s="24" customFormat="1" hidden="1" outlineLevel="2" x14ac:dyDescent="0.25">
      <c r="A75" s="26"/>
      <c r="B75" s="11" t="str">
        <f>CONCATENATE("          ", "6007", " - ", "STUDENT HOURLY")</f>
        <v xml:space="preserve">          6007 - STUDENT HOURLY</v>
      </c>
      <c r="C75" s="11"/>
      <c r="D75" s="7">
        <v>-1060.23</v>
      </c>
      <c r="E75" s="2"/>
      <c r="F75" s="6">
        <f t="shared" si="21"/>
        <v>-2.88080066711391E-2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-1060.23</v>
      </c>
      <c r="M75" s="2"/>
      <c r="N75" s="6">
        <f t="shared" si="24"/>
        <v>0</v>
      </c>
      <c r="O75" s="11"/>
      <c r="P75" s="7">
        <v>23143.23</v>
      </c>
      <c r="Q75" s="2"/>
      <c r="R75" s="6">
        <f t="shared" si="25"/>
        <v>1.2088035773043257E-2</v>
      </c>
      <c r="S75" s="2"/>
      <c r="T75" s="7">
        <v>28540.862499999999</v>
      </c>
      <c r="U75" s="2"/>
      <c r="V75" s="6">
        <f t="shared" si="26"/>
        <v>9.587701809313294E-3</v>
      </c>
      <c r="W75" s="2"/>
      <c r="X75" s="7">
        <f t="shared" si="27"/>
        <v>-5397.6324999999997</v>
      </c>
      <c r="Y75" s="2"/>
      <c r="Z75" s="6">
        <f t="shared" si="28"/>
        <v>-0.18911945986215378</v>
      </c>
    </row>
    <row r="76" spans="1:26" s="24" customFormat="1" hidden="1" outlineLevel="2" x14ac:dyDescent="0.25">
      <c r="A76" s="26"/>
      <c r="B76" s="11" t="str">
        <f>CONCATENATE("          ", "6008", " - ", "STUDENT HOURLY-FICA EXEMPT")</f>
        <v xml:space="preserve">          6008 - STUDENT HOURLY-FICA EXEMPT</v>
      </c>
      <c r="C76" s="11"/>
      <c r="D76" s="7"/>
      <c r="E76" s="2"/>
      <c r="F76" s="6">
        <f t="shared" si="21"/>
        <v>0</v>
      </c>
      <c r="G76" s="2"/>
      <c r="H76" s="7">
        <v>4269.375</v>
      </c>
      <c r="I76" s="2"/>
      <c r="J76" s="6">
        <f t="shared" si="22"/>
        <v>0.24307532452744249</v>
      </c>
      <c r="K76" s="2"/>
      <c r="L76" s="7">
        <f t="shared" si="23"/>
        <v>-4269.375</v>
      </c>
      <c r="M76" s="2"/>
      <c r="N76" s="6">
        <f t="shared" si="24"/>
        <v>-1</v>
      </c>
      <c r="O76" s="11"/>
      <c r="P76" s="7">
        <v>967.26</v>
      </c>
      <c r="Q76" s="2"/>
      <c r="R76" s="6">
        <f t="shared" si="25"/>
        <v>5.0521355410778094E-4</v>
      </c>
      <c r="S76" s="2"/>
      <c r="T76" s="7">
        <v>72344.193750000006</v>
      </c>
      <c r="U76" s="2"/>
      <c r="V76" s="6">
        <f t="shared" si="26"/>
        <v>2.4302508633373871E-2</v>
      </c>
      <c r="W76" s="2"/>
      <c r="X76" s="7">
        <f t="shared" si="27"/>
        <v>-71376.933750000011</v>
      </c>
      <c r="Y76" s="2"/>
      <c r="Z76" s="6">
        <f t="shared" si="28"/>
        <v>-0.98662974939851344</v>
      </c>
    </row>
    <row r="77" spans="1:26" s="24" customFormat="1" hidden="1" outlineLevel="2" x14ac:dyDescent="0.25">
      <c r="A77" s="26"/>
      <c r="B77" s="11" t="str">
        <f>CONCATENATE("          ", "6009", " - ", "TEMPORARY-SEASONAL")</f>
        <v xml:space="preserve">          6009 - TEMPORARY-SEASONAL</v>
      </c>
      <c r="C77" s="11"/>
      <c r="D77" s="7"/>
      <c r="E77" s="2"/>
      <c r="F77" s="6">
        <f t="shared" si="21"/>
        <v>0</v>
      </c>
      <c r="G77" s="2"/>
      <c r="H77" s="7">
        <v>0</v>
      </c>
      <c r="I77" s="2"/>
      <c r="J77" s="6">
        <f t="shared" si="22"/>
        <v>0</v>
      </c>
      <c r="K77" s="2"/>
      <c r="L77" s="7">
        <f t="shared" si="23"/>
        <v>0</v>
      </c>
      <c r="M77" s="2"/>
      <c r="N77" s="6">
        <f t="shared" si="24"/>
        <v>0</v>
      </c>
      <c r="O77" s="11"/>
      <c r="P77" s="7"/>
      <c r="Q77" s="2"/>
      <c r="R77" s="6">
        <f t="shared" si="25"/>
        <v>0</v>
      </c>
      <c r="S77" s="2"/>
      <c r="T77" s="7">
        <v>0</v>
      </c>
      <c r="U77" s="2"/>
      <c r="V77" s="6">
        <f t="shared" si="26"/>
        <v>0</v>
      </c>
      <c r="W77" s="2"/>
      <c r="X77" s="7">
        <f t="shared" si="27"/>
        <v>0</v>
      </c>
      <c r="Y77" s="2"/>
      <c r="Z77" s="6">
        <f t="shared" si="28"/>
        <v>0</v>
      </c>
    </row>
    <row r="78" spans="1:26" s="24" customFormat="1" hidden="1" outlineLevel="2" x14ac:dyDescent="0.25">
      <c r="A78" s="26"/>
      <c r="B78" s="11" t="str">
        <f>CONCATENATE("          ", "6010", " - ", "GRATUITY")</f>
        <v xml:space="preserve">          6010 - GRATUITY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5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2.21</v>
      </c>
      <c r="E79" s="1"/>
      <c r="F79" s="5">
        <f t="shared" ref="F79:F83" si="29">IF(D$12=0,0,D79/D$12)</f>
        <v>6.0048946684415082E-5</v>
      </c>
      <c r="G79" s="1"/>
      <c r="H79" s="1">
        <f>SUM(OSRRefH22_2x_0)</f>
        <v>100</v>
      </c>
      <c r="I79" s="1"/>
      <c r="J79" s="5">
        <f t="shared" ref="J79:J83" si="30">IF(H$12=0,0,H79/H$12)</f>
        <v>5.6934639034388525E-3</v>
      </c>
      <c r="K79" s="1"/>
      <c r="L79" s="1">
        <f t="shared" ref="L79:L83" si="31">+D79-H79</f>
        <v>-97.79</v>
      </c>
      <c r="M79" s="1"/>
      <c r="N79" s="5">
        <f t="shared" ref="N79:N83" si="32">IF(H79=0,0,L79/H79)</f>
        <v>-0.9779000000000001</v>
      </c>
      <c r="O79" s="13"/>
      <c r="P79" s="1">
        <f>SUM(OSRRefP22_2x_0)</f>
        <v>2032.59</v>
      </c>
      <c r="Q79" s="1"/>
      <c r="R79" s="5">
        <f t="shared" ref="R79:R83" si="33">IF(P$12=0,0,P79/P$12)</f>
        <v>1.061650453801392E-3</v>
      </c>
      <c r="S79" s="1"/>
      <c r="T79" s="1">
        <f>SUM(OSRRefT22_2x_0)</f>
        <v>2400</v>
      </c>
      <c r="U79" s="1"/>
      <c r="V79" s="5">
        <f t="shared" ref="V79:V83" si="34">IF(T$12=0,0,T79/T$12)</f>
        <v>8.0622946634327909E-4</v>
      </c>
      <c r="W79" s="1"/>
      <c r="X79" s="1">
        <f t="shared" ref="X79:X83" si="35">+P79-T79</f>
        <v>-367.41000000000008</v>
      </c>
      <c r="Y79" s="1"/>
      <c r="Z79" s="5">
        <f t="shared" ref="Z79:Z83" si="36">IF(T79=0,0,X79/T79)</f>
        <v>-0.15308750000000004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7">
        <v>2.21</v>
      </c>
      <c r="E80" s="2"/>
      <c r="F80" s="6">
        <f t="shared" si="29"/>
        <v>6.0048946684415082E-5</v>
      </c>
      <c r="G80" s="2"/>
      <c r="H80" s="7">
        <v>100</v>
      </c>
      <c r="I80" s="2"/>
      <c r="J80" s="6">
        <f t="shared" si="30"/>
        <v>5.6934639034388525E-3</v>
      </c>
      <c r="K80" s="2"/>
      <c r="L80" s="7">
        <f t="shared" si="31"/>
        <v>-97.79</v>
      </c>
      <c r="M80" s="2"/>
      <c r="N80" s="6">
        <f t="shared" si="32"/>
        <v>-0.9779000000000001</v>
      </c>
      <c r="O80" s="11"/>
      <c r="P80" s="7">
        <v>2032.59</v>
      </c>
      <c r="Q80" s="2"/>
      <c r="R80" s="6">
        <f t="shared" si="33"/>
        <v>1.061650453801392E-3</v>
      </c>
      <c r="S80" s="2"/>
      <c r="T80" s="7">
        <v>2400</v>
      </c>
      <c r="U80" s="2"/>
      <c r="V80" s="6">
        <f t="shared" si="34"/>
        <v>8.0622946634327909E-4</v>
      </c>
      <c r="W80" s="2"/>
      <c r="X80" s="7">
        <f t="shared" si="35"/>
        <v>-367.41000000000008</v>
      </c>
      <c r="Y80" s="2"/>
      <c r="Z80" s="6">
        <f t="shared" si="36"/>
        <v>-0.15308750000000004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0</v>
      </c>
      <c r="E81" s="1"/>
      <c r="F81" s="5">
        <f t="shared" si="29"/>
        <v>0</v>
      </c>
      <c r="G81" s="1"/>
      <c r="H81" s="1">
        <f>SUM(OSRRefH22_3x_0)</f>
        <v>1200</v>
      </c>
      <c r="I81" s="1"/>
      <c r="J81" s="5">
        <f t="shared" si="30"/>
        <v>6.8321566841266224E-2</v>
      </c>
      <c r="K81" s="1"/>
      <c r="L81" s="1">
        <f t="shared" si="31"/>
        <v>-1200</v>
      </c>
      <c r="M81" s="1"/>
      <c r="N81" s="5">
        <f t="shared" si="32"/>
        <v>-1</v>
      </c>
      <c r="O81" s="13"/>
      <c r="P81" s="1">
        <f>SUM(OSRRefP22_3x_0)</f>
        <v>0</v>
      </c>
      <c r="Q81" s="1"/>
      <c r="R81" s="5">
        <f t="shared" si="33"/>
        <v>0</v>
      </c>
      <c r="S81" s="1"/>
      <c r="T81" s="1">
        <f>SUM(OSRRefT22_3x_0)</f>
        <v>17600</v>
      </c>
      <c r="U81" s="1"/>
      <c r="V81" s="5">
        <f t="shared" si="34"/>
        <v>5.9123494198507131E-3</v>
      </c>
      <c r="W81" s="1"/>
      <c r="X81" s="1">
        <f t="shared" si="35"/>
        <v>-17600</v>
      </c>
      <c r="Y81" s="1"/>
      <c r="Z81" s="5">
        <f t="shared" si="36"/>
        <v>-1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0</v>
      </c>
      <c r="E82" s="2"/>
      <c r="F82" s="6">
        <f t="shared" si="29"/>
        <v>0</v>
      </c>
      <c r="G82" s="2"/>
      <c r="H82" s="7">
        <v>1200</v>
      </c>
      <c r="I82" s="2"/>
      <c r="J82" s="6">
        <f t="shared" si="30"/>
        <v>6.8321566841266224E-2</v>
      </c>
      <c r="K82" s="2"/>
      <c r="L82" s="7">
        <f t="shared" si="31"/>
        <v>-1200</v>
      </c>
      <c r="M82" s="2"/>
      <c r="N82" s="6">
        <f t="shared" si="32"/>
        <v>-1</v>
      </c>
      <c r="O82" s="11"/>
      <c r="P82" s="7">
        <v>0</v>
      </c>
      <c r="Q82" s="2"/>
      <c r="R82" s="6">
        <f t="shared" si="33"/>
        <v>0</v>
      </c>
      <c r="S82" s="2"/>
      <c r="T82" s="7">
        <v>17600</v>
      </c>
      <c r="U82" s="2"/>
      <c r="V82" s="6">
        <f t="shared" si="34"/>
        <v>5.9123494198507131E-3</v>
      </c>
      <c r="W82" s="2"/>
      <c r="X82" s="7">
        <f t="shared" si="35"/>
        <v>-17600</v>
      </c>
      <c r="Y82" s="2"/>
      <c r="Z82" s="6">
        <f t="shared" si="36"/>
        <v>-1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7"/>
      <c r="E83" s="2"/>
      <c r="F83" s="6">
        <f t="shared" si="29"/>
        <v>0</v>
      </c>
      <c r="G83" s="2"/>
      <c r="H83" s="7"/>
      <c r="I83" s="2"/>
      <c r="J83" s="6">
        <f t="shared" si="30"/>
        <v>0</v>
      </c>
      <c r="K83" s="2"/>
      <c r="L83" s="7">
        <f t="shared" si="31"/>
        <v>0</v>
      </c>
      <c r="M83" s="2"/>
      <c r="N83" s="6">
        <f t="shared" si="32"/>
        <v>0</v>
      </c>
      <c r="O83" s="11"/>
      <c r="P83" s="7">
        <v>0</v>
      </c>
      <c r="Q83" s="2"/>
      <c r="R83" s="6">
        <f t="shared" si="33"/>
        <v>0</v>
      </c>
      <c r="S83" s="2"/>
      <c r="T83" s="7"/>
      <c r="U83" s="2"/>
      <c r="V83" s="6">
        <f t="shared" si="34"/>
        <v>0</v>
      </c>
      <c r="W83" s="2"/>
      <c r="X83" s="7">
        <f t="shared" si="35"/>
        <v>0</v>
      </c>
      <c r="Y83" s="2"/>
      <c r="Z83" s="6">
        <f t="shared" si="36"/>
        <v>0</v>
      </c>
    </row>
    <row r="84" spans="1:26" s="25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37">IF(D$12=0,0,D84/D$12)</f>
        <v>0</v>
      </c>
      <c r="G84" s="1"/>
      <c r="H84" s="1">
        <f>SUM(OSRRefH22_4x_0)</f>
        <v>75</v>
      </c>
      <c r="I84" s="1"/>
      <c r="J84" s="5">
        <f t="shared" ref="J84:J90" si="38">IF(H$12=0,0,H84/H$12)</f>
        <v>4.270097927579139E-3</v>
      </c>
      <c r="K84" s="1"/>
      <c r="L84" s="1">
        <f t="shared" ref="L84:L90" si="39">+D84-H84</f>
        <v>-75</v>
      </c>
      <c r="M84" s="1"/>
      <c r="N84" s="5">
        <f t="shared" ref="N84:N90" si="40">IF(H84=0,0,L84/H84)</f>
        <v>-1</v>
      </c>
      <c r="O84" s="13"/>
      <c r="P84" s="1">
        <f>SUM(OSRRefP22_4x_0)</f>
        <v>107.7</v>
      </c>
      <c r="Q84" s="1"/>
      <c r="R84" s="5">
        <f t="shared" ref="R84:R90" si="41">IF(P$12=0,0,P84/P$12)</f>
        <v>5.6253230545466586E-5</v>
      </c>
      <c r="S84" s="1"/>
      <c r="T84" s="1">
        <f>SUM(OSRRefT22_4x_0)</f>
        <v>750</v>
      </c>
      <c r="U84" s="1"/>
      <c r="V84" s="5">
        <f t="shared" ref="V84:V90" si="42">IF(T$12=0,0,T84/T$12)</f>
        <v>2.5194670823227471E-4</v>
      </c>
      <c r="W84" s="1"/>
      <c r="X84" s="1">
        <f t="shared" ref="X84:X90" si="43">+P84-T84</f>
        <v>-642.29999999999995</v>
      </c>
      <c r="Y84" s="1"/>
      <c r="Z84" s="5">
        <f t="shared" ref="Z84:Z90" si="44">IF(T84=0,0,X84/T84)</f>
        <v>-0.85639999999999994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7"/>
      <c r="E85" s="2"/>
      <c r="F85" s="6">
        <f t="shared" si="37"/>
        <v>0</v>
      </c>
      <c r="G85" s="2"/>
      <c r="H85" s="7">
        <v>75</v>
      </c>
      <c r="I85" s="2"/>
      <c r="J85" s="6">
        <f t="shared" si="38"/>
        <v>4.270097927579139E-3</v>
      </c>
      <c r="K85" s="2"/>
      <c r="L85" s="7">
        <f t="shared" si="39"/>
        <v>-75</v>
      </c>
      <c r="M85" s="2"/>
      <c r="N85" s="6">
        <f t="shared" si="40"/>
        <v>-1</v>
      </c>
      <c r="O85" s="11"/>
      <c r="P85" s="7">
        <v>107.7</v>
      </c>
      <c r="Q85" s="2"/>
      <c r="R85" s="6">
        <f t="shared" si="41"/>
        <v>5.6253230545466586E-5</v>
      </c>
      <c r="S85" s="2"/>
      <c r="T85" s="7">
        <v>750</v>
      </c>
      <c r="U85" s="2"/>
      <c r="V85" s="6">
        <f t="shared" si="42"/>
        <v>2.5194670823227471E-4</v>
      </c>
      <c r="W85" s="2"/>
      <c r="X85" s="7">
        <f t="shared" si="43"/>
        <v>-642.29999999999995</v>
      </c>
      <c r="Y85" s="2"/>
      <c r="Z85" s="6">
        <f t="shared" si="44"/>
        <v>-0.85639999999999994</v>
      </c>
    </row>
    <row r="86" spans="1:26" s="25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7"/>
        <v>2.4796682689681997E-3</v>
      </c>
      <c r="G86" s="1"/>
      <c r="H86" s="1">
        <f>SUM(OSRRefH22_5x_0)</f>
        <v>100</v>
      </c>
      <c r="I86" s="1"/>
      <c r="J86" s="5">
        <f t="shared" si="38"/>
        <v>5.6934639034388525E-3</v>
      </c>
      <c r="K86" s="1"/>
      <c r="L86" s="1">
        <f t="shared" si="39"/>
        <v>-8.7399999999999949</v>
      </c>
      <c r="M86" s="1"/>
      <c r="N86" s="5">
        <f t="shared" si="40"/>
        <v>-8.739999999999995E-2</v>
      </c>
      <c r="O86" s="13"/>
      <c r="P86" s="1">
        <f>SUM(OSRRefP22_5x_0)</f>
        <v>912.6</v>
      </c>
      <c r="Q86" s="1"/>
      <c r="R86" s="5">
        <f t="shared" si="41"/>
        <v>4.7666386439919041E-4</v>
      </c>
      <c r="S86" s="1"/>
      <c r="T86" s="1">
        <f>SUM(OSRRefT22_5x_0)</f>
        <v>1000</v>
      </c>
      <c r="U86" s="1"/>
      <c r="V86" s="5">
        <f t="shared" si="42"/>
        <v>3.3592894430969959E-4</v>
      </c>
      <c r="W86" s="1"/>
      <c r="X86" s="1">
        <f t="shared" si="43"/>
        <v>-87.399999999999977</v>
      </c>
      <c r="Y86" s="1"/>
      <c r="Z86" s="5">
        <f t="shared" si="44"/>
        <v>-8.7399999999999978E-2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7">
        <v>91.26</v>
      </c>
      <c r="E87" s="2"/>
      <c r="F87" s="6">
        <f t="shared" si="37"/>
        <v>2.4796682689681997E-3</v>
      </c>
      <c r="G87" s="2"/>
      <c r="H87" s="7">
        <v>100</v>
      </c>
      <c r="I87" s="2"/>
      <c r="J87" s="6">
        <f t="shared" si="38"/>
        <v>5.6934639034388525E-3</v>
      </c>
      <c r="K87" s="2"/>
      <c r="L87" s="7">
        <f t="shared" si="39"/>
        <v>-8.7399999999999949</v>
      </c>
      <c r="M87" s="2"/>
      <c r="N87" s="6">
        <f t="shared" si="40"/>
        <v>-8.739999999999995E-2</v>
      </c>
      <c r="O87" s="11"/>
      <c r="P87" s="7">
        <v>912.6</v>
      </c>
      <c r="Q87" s="2"/>
      <c r="R87" s="6">
        <f t="shared" si="41"/>
        <v>4.7666386439919041E-4</v>
      </c>
      <c r="S87" s="2"/>
      <c r="T87" s="7">
        <v>1000</v>
      </c>
      <c r="U87" s="2"/>
      <c r="V87" s="6">
        <f t="shared" si="42"/>
        <v>3.3592894430969959E-4</v>
      </c>
      <c r="W87" s="2"/>
      <c r="X87" s="7">
        <f t="shared" si="43"/>
        <v>-87.399999999999977</v>
      </c>
      <c r="Y87" s="2"/>
      <c r="Z87" s="6">
        <f t="shared" si="44"/>
        <v>-8.7399999999999978E-2</v>
      </c>
    </row>
    <row r="88" spans="1:26" s="25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6096.13</v>
      </c>
      <c r="E88" s="1"/>
      <c r="F88" s="5">
        <f t="shared" si="37"/>
        <v>0.16564080785125038</v>
      </c>
      <c r="G88" s="1"/>
      <c r="H88" s="1">
        <f>SUM(OSRRefH22_6x_0)</f>
        <v>2300</v>
      </c>
      <c r="I88" s="1"/>
      <c r="J88" s="5">
        <f t="shared" si="38"/>
        <v>0.13094966977909361</v>
      </c>
      <c r="K88" s="1"/>
      <c r="L88" s="1">
        <f t="shared" si="39"/>
        <v>3796.13</v>
      </c>
      <c r="M88" s="1"/>
      <c r="N88" s="5">
        <f t="shared" si="40"/>
        <v>1.6504913043478262</v>
      </c>
      <c r="O88" s="13"/>
      <c r="P88" s="1">
        <f>SUM(OSRRefP22_6x_0)</f>
        <v>23777.99</v>
      </c>
      <c r="Q88" s="1"/>
      <c r="R88" s="5">
        <f t="shared" si="41"/>
        <v>1.241957988280222E-2</v>
      </c>
      <c r="S88" s="1"/>
      <c r="T88" s="1">
        <f>SUM(OSRRefT22_6x_0)</f>
        <v>23000</v>
      </c>
      <c r="U88" s="1"/>
      <c r="V88" s="5">
        <f t="shared" si="42"/>
        <v>7.7263657191230907E-3</v>
      </c>
      <c r="W88" s="1"/>
      <c r="X88" s="1">
        <f t="shared" si="43"/>
        <v>777.9900000000016</v>
      </c>
      <c r="Y88" s="1"/>
      <c r="Z88" s="5">
        <f t="shared" si="44"/>
        <v>3.3825652173913111E-2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7">
        <v>6096.13</v>
      </c>
      <c r="E89" s="2"/>
      <c r="F89" s="6">
        <f t="shared" si="37"/>
        <v>0.16564080785125038</v>
      </c>
      <c r="G89" s="2"/>
      <c r="H89" s="7">
        <v>2300</v>
      </c>
      <c r="I89" s="2"/>
      <c r="J89" s="6">
        <f t="shared" si="38"/>
        <v>0.13094966977909361</v>
      </c>
      <c r="K89" s="2"/>
      <c r="L89" s="7">
        <f t="shared" si="39"/>
        <v>3796.13</v>
      </c>
      <c r="M89" s="2"/>
      <c r="N89" s="6">
        <f t="shared" si="40"/>
        <v>1.6504913043478262</v>
      </c>
      <c r="O89" s="11"/>
      <c r="P89" s="7">
        <v>23777.49</v>
      </c>
      <c r="Q89" s="2"/>
      <c r="R89" s="6">
        <f t="shared" si="41"/>
        <v>1.2419318725743049E-2</v>
      </c>
      <c r="S89" s="2"/>
      <c r="T89" s="7">
        <v>23000</v>
      </c>
      <c r="U89" s="2"/>
      <c r="V89" s="6">
        <f t="shared" si="42"/>
        <v>7.7263657191230907E-3</v>
      </c>
      <c r="W89" s="2"/>
      <c r="X89" s="7">
        <f t="shared" si="43"/>
        <v>777.4900000000016</v>
      </c>
      <c r="Y89" s="2"/>
      <c r="Z89" s="6">
        <f t="shared" si="44"/>
        <v>3.380391304347833E-2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0.5</v>
      </c>
      <c r="Q90" s="2"/>
      <c r="R90" s="6">
        <f t="shared" si="41"/>
        <v>2.6115705917115409E-7</v>
      </c>
      <c r="S90" s="2"/>
      <c r="T90" s="7"/>
      <c r="U90" s="2"/>
      <c r="V90" s="6">
        <f t="shared" si="42"/>
        <v>0</v>
      </c>
      <c r="W90" s="2"/>
      <c r="X90" s="7">
        <f t="shared" si="43"/>
        <v>0.5</v>
      </c>
      <c r="Y90" s="2"/>
      <c r="Z90" s="6">
        <f t="shared" si="44"/>
        <v>0</v>
      </c>
    </row>
    <row r="91" spans="1:26" s="25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-0.99</v>
      </c>
      <c r="E91" s="1"/>
      <c r="F91" s="5">
        <f t="shared" ref="F91:F93" si="45">IF(D$12=0,0,D91/D$12)</f>
        <v>-2.689975439709092E-5</v>
      </c>
      <c r="G91" s="1"/>
      <c r="H91" s="1">
        <f>SUM(OSRRefH22_7x_0)</f>
        <v>0</v>
      </c>
      <c r="I91" s="1"/>
      <c r="J91" s="5">
        <f t="shared" ref="J91:J93" si="46">IF(H$12=0,0,H91/H$12)</f>
        <v>0</v>
      </c>
      <c r="K91" s="1"/>
      <c r="L91" s="1">
        <f t="shared" ref="L91:L93" si="47">+D91-H91</f>
        <v>-0.99</v>
      </c>
      <c r="M91" s="1"/>
      <c r="N91" s="5">
        <f t="shared" ref="N91:N93" si="48">IF(H91=0,0,L91/H91)</f>
        <v>0</v>
      </c>
      <c r="O91" s="13"/>
      <c r="P91" s="1">
        <f>SUM(OSRRefP22_7x_0)</f>
        <v>-1043.02</v>
      </c>
      <c r="Q91" s="1"/>
      <c r="R91" s="5">
        <f t="shared" ref="R91:R93" si="49">IF(P$12=0,0,P91/P$12)</f>
        <v>-5.4478407171339421E-4</v>
      </c>
      <c r="S91" s="1"/>
      <c r="T91" s="1">
        <f>SUM(OSRRefT22_7x_0)</f>
        <v>1500</v>
      </c>
      <c r="U91" s="1"/>
      <c r="V91" s="5">
        <f t="shared" ref="V91:V93" si="50">IF(T$12=0,0,T91/T$12)</f>
        <v>5.0389341646454942E-4</v>
      </c>
      <c r="W91" s="1"/>
      <c r="X91" s="1">
        <f t="shared" ref="X91:X93" si="51">+P91-T91</f>
        <v>-2543.02</v>
      </c>
      <c r="Y91" s="1"/>
      <c r="Z91" s="5">
        <f t="shared" ref="Z91:Z93" si="52">IF(T91=0,0,X91/T91)</f>
        <v>-1.6953466666666666</v>
      </c>
    </row>
    <row r="92" spans="1:26" s="24" customFormat="1" hidden="1" outlineLevel="2" x14ac:dyDescent="0.25">
      <c r="A92" s="26"/>
      <c r="B92" s="11" t="str">
        <f>CONCATENATE("          ", "6269", " - ", "ENTERTAINMENT")</f>
        <v xml:space="preserve">          6269 - ENTERTAINMENT</v>
      </c>
      <c r="C92" s="11"/>
      <c r="D92" s="7"/>
      <c r="E92" s="2"/>
      <c r="F92" s="6">
        <f t="shared" si="45"/>
        <v>0</v>
      </c>
      <c r="G92" s="2"/>
      <c r="H92" s="7"/>
      <c r="I92" s="2"/>
      <c r="J92" s="6">
        <f t="shared" si="46"/>
        <v>0</v>
      </c>
      <c r="K92" s="2"/>
      <c r="L92" s="7">
        <f t="shared" si="47"/>
        <v>0</v>
      </c>
      <c r="M92" s="2"/>
      <c r="N92" s="6">
        <f t="shared" si="48"/>
        <v>0</v>
      </c>
      <c r="O92" s="11"/>
      <c r="P92" s="7"/>
      <c r="Q92" s="2"/>
      <c r="R92" s="6">
        <f t="shared" si="49"/>
        <v>0</v>
      </c>
      <c r="S92" s="2"/>
      <c r="T92" s="7">
        <v>1500</v>
      </c>
      <c r="U92" s="2"/>
      <c r="V92" s="6">
        <f t="shared" si="50"/>
        <v>5.0389341646454942E-4</v>
      </c>
      <c r="W92" s="2"/>
      <c r="X92" s="7">
        <f t="shared" si="51"/>
        <v>-1500</v>
      </c>
      <c r="Y92" s="2"/>
      <c r="Z92" s="6">
        <f t="shared" si="52"/>
        <v>-1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7">
        <v>-0.99</v>
      </c>
      <c r="E93" s="2"/>
      <c r="F93" s="6">
        <f t="shared" si="45"/>
        <v>-2.689975439709092E-5</v>
      </c>
      <c r="G93" s="2"/>
      <c r="H93" s="7"/>
      <c r="I93" s="2"/>
      <c r="J93" s="6">
        <f t="shared" si="46"/>
        <v>0</v>
      </c>
      <c r="K93" s="2"/>
      <c r="L93" s="7">
        <f t="shared" si="47"/>
        <v>-0.99</v>
      </c>
      <c r="M93" s="2"/>
      <c r="N93" s="6">
        <f t="shared" si="48"/>
        <v>0</v>
      </c>
      <c r="O93" s="11"/>
      <c r="P93" s="7">
        <v>-1043.02</v>
      </c>
      <c r="Q93" s="2"/>
      <c r="R93" s="6">
        <f t="shared" si="49"/>
        <v>-5.4478407171339421E-4</v>
      </c>
      <c r="S93" s="2"/>
      <c r="T93" s="7"/>
      <c r="U93" s="2"/>
      <c r="V93" s="6">
        <f t="shared" si="50"/>
        <v>0</v>
      </c>
      <c r="W93" s="2"/>
      <c r="X93" s="7">
        <f t="shared" si="51"/>
        <v>-1043.02</v>
      </c>
      <c r="Y93" s="2"/>
      <c r="Z93" s="6">
        <f t="shared" si="52"/>
        <v>0</v>
      </c>
    </row>
    <row r="94" spans="1:26" s="25" customFormat="1" outlineLevel="1" collapsed="1" x14ac:dyDescent="0.25">
      <c r="A94" s="27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1000</v>
      </c>
      <c r="E94" s="1"/>
      <c r="F94" s="5">
        <f t="shared" ref="F94:F98" si="53">IF(D$12=0,0,D94/D$12)</f>
        <v>2.7171469087970627E-2</v>
      </c>
      <c r="G94" s="1"/>
      <c r="H94" s="1">
        <f>SUM(OSRRefH22_8x_0)</f>
        <v>1000</v>
      </c>
      <c r="I94" s="1"/>
      <c r="J94" s="5">
        <f t="shared" ref="J94:J98" si="54">IF(H$12=0,0,H94/H$12)</f>
        <v>5.6934639034388522E-2</v>
      </c>
      <c r="K94" s="1"/>
      <c r="L94" s="1">
        <f t="shared" ref="L94:L98" si="55">+D94-H94</f>
        <v>0</v>
      </c>
      <c r="M94" s="1"/>
      <c r="N94" s="5">
        <f t="shared" ref="N94:N98" si="56">IF(H94=0,0,L94/H94)</f>
        <v>0</v>
      </c>
      <c r="O94" s="13"/>
      <c r="P94" s="1">
        <f>SUM(OSRRefP22_8x_0)</f>
        <v>15000</v>
      </c>
      <c r="Q94" s="1"/>
      <c r="R94" s="5">
        <f t="shared" ref="R94:R98" si="57">IF(P$12=0,0,P94/P$12)</f>
        <v>7.8347117751346226E-3</v>
      </c>
      <c r="S94" s="1"/>
      <c r="T94" s="1">
        <f>SUM(OSRRefT22_8x_0)</f>
        <v>15000</v>
      </c>
      <c r="U94" s="1"/>
      <c r="V94" s="5">
        <f t="shared" ref="V94:V98" si="58">IF(T$12=0,0,T94/T$12)</f>
        <v>5.0389341646454944E-3</v>
      </c>
      <c r="W94" s="1"/>
      <c r="X94" s="1">
        <f t="shared" ref="X94:X98" si="59">+P94-T94</f>
        <v>0</v>
      </c>
      <c r="Y94" s="1"/>
      <c r="Z94" s="5">
        <f t="shared" ref="Z94:Z98" si="60">IF(T94=0,0,X94/T94)</f>
        <v>0</v>
      </c>
    </row>
    <row r="95" spans="1:26" s="24" customFormat="1" hidden="1" outlineLevel="2" x14ac:dyDescent="0.25">
      <c r="A95" s="26"/>
      <c r="B95" s="11" t="str">
        <f>CONCATENATE("          ", "6408", " - ", "INVENTORY ADJUSTMENT")</f>
        <v xml:space="preserve">          6408 - INVENTORY ADJUSTMENT</v>
      </c>
      <c r="C95" s="11"/>
      <c r="D95" s="7">
        <v>1000</v>
      </c>
      <c r="E95" s="2"/>
      <c r="F95" s="6">
        <f t="shared" si="53"/>
        <v>2.7171469087970627E-2</v>
      </c>
      <c r="G95" s="2"/>
      <c r="H95" s="7">
        <v>1000</v>
      </c>
      <c r="I95" s="2"/>
      <c r="J95" s="6">
        <f t="shared" si="54"/>
        <v>5.6934639034388522E-2</v>
      </c>
      <c r="K95" s="2"/>
      <c r="L95" s="7">
        <f t="shared" si="55"/>
        <v>0</v>
      </c>
      <c r="M95" s="2"/>
      <c r="N95" s="6">
        <f t="shared" si="56"/>
        <v>0</v>
      </c>
      <c r="O95" s="11"/>
      <c r="P95" s="7">
        <v>15000</v>
      </c>
      <c r="Q95" s="2"/>
      <c r="R95" s="6">
        <f t="shared" si="57"/>
        <v>7.8347117751346226E-3</v>
      </c>
      <c r="S95" s="2"/>
      <c r="T95" s="7">
        <v>15000</v>
      </c>
      <c r="U95" s="2"/>
      <c r="V95" s="6">
        <f t="shared" si="58"/>
        <v>5.0389341646454944E-3</v>
      </c>
      <c r="W95" s="2"/>
      <c r="X95" s="7">
        <f t="shared" si="59"/>
        <v>0</v>
      </c>
      <c r="Y95" s="2"/>
      <c r="Z95" s="6">
        <f t="shared" si="60"/>
        <v>0</v>
      </c>
    </row>
    <row r="96" spans="1:26" s="25" customFormat="1" outlineLevel="1" collapsed="1" x14ac:dyDescent="0.25">
      <c r="A96" s="27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254.93</v>
      </c>
      <c r="E96" s="1"/>
      <c r="F96" s="5">
        <f t="shared" si="53"/>
        <v>6.9268226145963521E-3</v>
      </c>
      <c r="G96" s="1"/>
      <c r="H96" s="1">
        <f>SUM(OSRRefH22_9x_0)</f>
        <v>140</v>
      </c>
      <c r="I96" s="1"/>
      <c r="J96" s="5">
        <f t="shared" si="54"/>
        <v>7.9708494648143939E-3</v>
      </c>
      <c r="K96" s="1"/>
      <c r="L96" s="1">
        <f t="shared" si="55"/>
        <v>114.93</v>
      </c>
      <c r="M96" s="1"/>
      <c r="N96" s="5">
        <f t="shared" si="56"/>
        <v>0.82092857142857145</v>
      </c>
      <c r="O96" s="13"/>
      <c r="P96" s="1">
        <f>SUM(OSRRefP22_9x_0)</f>
        <v>462.25</v>
      </c>
      <c r="Q96" s="1"/>
      <c r="R96" s="5">
        <f t="shared" si="57"/>
        <v>2.4143970120373194E-4</v>
      </c>
      <c r="S96" s="1"/>
      <c r="T96" s="1">
        <f>SUM(OSRRefT22_9x_0)</f>
        <v>1400</v>
      </c>
      <c r="U96" s="1"/>
      <c r="V96" s="5">
        <f t="shared" si="58"/>
        <v>4.7030052203357944E-4</v>
      </c>
      <c r="W96" s="1"/>
      <c r="X96" s="1">
        <f t="shared" si="59"/>
        <v>-937.75</v>
      </c>
      <c r="Y96" s="1"/>
      <c r="Z96" s="5">
        <f t="shared" si="60"/>
        <v>-0.66982142857142857</v>
      </c>
    </row>
    <row r="97" spans="1:26" s="24" customFormat="1" hidden="1" outlineLevel="2" x14ac:dyDescent="0.25">
      <c r="A97" s="26"/>
      <c r="B97" s="11" t="str">
        <f>CONCATENATE("          ", "6373", " - ", "MAINTENANCE CONTRACTS")</f>
        <v xml:space="preserve">          6373 - MAINTENANCE CONTRACTS</v>
      </c>
      <c r="C97" s="11"/>
      <c r="D97" s="7">
        <v>22.53</v>
      </c>
      <c r="E97" s="2"/>
      <c r="F97" s="6">
        <f t="shared" si="53"/>
        <v>6.1217319855197828E-4</v>
      </c>
      <c r="G97" s="2"/>
      <c r="H97" s="7">
        <v>40</v>
      </c>
      <c r="I97" s="2"/>
      <c r="J97" s="6">
        <f t="shared" si="54"/>
        <v>2.2773855613755409E-3</v>
      </c>
      <c r="K97" s="2"/>
      <c r="L97" s="7">
        <f t="shared" si="55"/>
        <v>-17.47</v>
      </c>
      <c r="M97" s="2"/>
      <c r="N97" s="6">
        <f t="shared" si="56"/>
        <v>-0.43674999999999997</v>
      </c>
      <c r="O97" s="11"/>
      <c r="P97" s="7">
        <v>204.74</v>
      </c>
      <c r="Q97" s="2"/>
      <c r="R97" s="6">
        <f t="shared" si="57"/>
        <v>1.0693859258940418E-4</v>
      </c>
      <c r="S97" s="2"/>
      <c r="T97" s="7">
        <v>400</v>
      </c>
      <c r="U97" s="2"/>
      <c r="V97" s="6">
        <f t="shared" si="58"/>
        <v>1.3437157772387985E-4</v>
      </c>
      <c r="W97" s="2"/>
      <c r="X97" s="7">
        <f t="shared" si="59"/>
        <v>-195.26</v>
      </c>
      <c r="Y97" s="2"/>
      <c r="Z97" s="6">
        <f t="shared" si="60"/>
        <v>-0.48814999999999997</v>
      </c>
    </row>
    <row r="98" spans="1:26" s="24" customFormat="1" hidden="1" outlineLevel="2" x14ac:dyDescent="0.25">
      <c r="A98" s="26"/>
      <c r="B98" s="11" t="str">
        <f>CONCATENATE("          ", "6375", " - ", "OUTSIDE REPAIRS &amp; MAINTENANCE")</f>
        <v xml:space="preserve">          6375 - OUTSIDE REPAIRS &amp; MAINTENANCE</v>
      </c>
      <c r="C98" s="11"/>
      <c r="D98" s="7">
        <v>232.4</v>
      </c>
      <c r="E98" s="2"/>
      <c r="F98" s="6">
        <f t="shared" si="53"/>
        <v>6.3146494160443737E-3</v>
      </c>
      <c r="G98" s="2"/>
      <c r="H98" s="7">
        <v>100</v>
      </c>
      <c r="I98" s="2"/>
      <c r="J98" s="6">
        <f t="shared" si="54"/>
        <v>5.6934639034388525E-3</v>
      </c>
      <c r="K98" s="2"/>
      <c r="L98" s="7">
        <f t="shared" si="55"/>
        <v>132.4</v>
      </c>
      <c r="M98" s="2"/>
      <c r="N98" s="6">
        <f t="shared" si="56"/>
        <v>1.3240000000000001</v>
      </c>
      <c r="O98" s="11"/>
      <c r="P98" s="7">
        <v>257.51</v>
      </c>
      <c r="Q98" s="2"/>
      <c r="R98" s="6">
        <f t="shared" si="57"/>
        <v>1.3450110861432777E-4</v>
      </c>
      <c r="S98" s="2"/>
      <c r="T98" s="7">
        <v>1000</v>
      </c>
      <c r="U98" s="2"/>
      <c r="V98" s="6">
        <f t="shared" si="58"/>
        <v>3.3592894430969959E-4</v>
      </c>
      <c r="W98" s="2"/>
      <c r="X98" s="7">
        <f t="shared" si="59"/>
        <v>-742.49</v>
      </c>
      <c r="Y98" s="2"/>
      <c r="Z98" s="6">
        <f t="shared" si="60"/>
        <v>-0.74248999999999998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SUM(OSRRefD22_10x_0)</f>
        <v>328.71</v>
      </c>
      <c r="E99" s="1"/>
      <c r="F99" s="5">
        <f t="shared" ref="F99:F101" si="61">IF(D$12=0,0,D99/D$12)</f>
        <v>8.931533603906824E-3</v>
      </c>
      <c r="G99" s="1"/>
      <c r="H99" s="1">
        <f>SUM(OSRRefH22_10x_0)</f>
        <v>2100</v>
      </c>
      <c r="I99" s="1"/>
      <c r="J99" s="5">
        <f t="shared" ref="J99:J101" si="62">IF(H$12=0,0,H99/H$12)</f>
        <v>0.11956274197221589</v>
      </c>
      <c r="K99" s="1"/>
      <c r="L99" s="1">
        <f t="shared" ref="L99:L101" si="63">+D99-H99</f>
        <v>-1771.29</v>
      </c>
      <c r="M99" s="1"/>
      <c r="N99" s="5">
        <f t="shared" ref="N99:N101" si="64">IF(H99=0,0,L99/H99)</f>
        <v>-0.84347142857142854</v>
      </c>
      <c r="O99" s="13"/>
      <c r="P99" s="1">
        <f>SUM(OSRRefP22_10x_0)</f>
        <v>4655.34</v>
      </c>
      <c r="Q99" s="1"/>
      <c r="R99" s="5">
        <f t="shared" ref="R99:R101" si="65">IF(P$12=0,0,P99/P$12)</f>
        <v>2.4315498076836811E-3</v>
      </c>
      <c r="S99" s="1"/>
      <c r="T99" s="1">
        <f>SUM(OSRRefT22_10x_0)</f>
        <v>4800</v>
      </c>
      <c r="U99" s="1"/>
      <c r="V99" s="5">
        <f t="shared" ref="V99:V101" si="66">IF(T$12=0,0,T99/T$12)</f>
        <v>1.6124589326865582E-3</v>
      </c>
      <c r="W99" s="1"/>
      <c r="X99" s="1">
        <f t="shared" ref="X99:X101" si="67">+P99-T99</f>
        <v>-144.65999999999985</v>
      </c>
      <c r="Y99" s="1"/>
      <c r="Z99" s="5">
        <f t="shared" ref="Z99:Z101" si="68">IF(T99=0,0,X99/T99)</f>
        <v>-3.013749999999997E-2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7">
        <v>328.71</v>
      </c>
      <c r="E100" s="2"/>
      <c r="F100" s="6">
        <f t="shared" si="61"/>
        <v>8.931533603906824E-3</v>
      </c>
      <c r="G100" s="2"/>
      <c r="H100" s="7">
        <v>300</v>
      </c>
      <c r="I100" s="2"/>
      <c r="J100" s="6">
        <f t="shared" si="62"/>
        <v>1.7080391710316556E-2</v>
      </c>
      <c r="K100" s="2"/>
      <c r="L100" s="7">
        <f t="shared" si="63"/>
        <v>28.70999999999998</v>
      </c>
      <c r="M100" s="2"/>
      <c r="N100" s="6">
        <f t="shared" si="64"/>
        <v>9.5699999999999938E-2</v>
      </c>
      <c r="O100" s="11"/>
      <c r="P100" s="7">
        <v>2803.26</v>
      </c>
      <c r="Q100" s="2"/>
      <c r="R100" s="6">
        <f t="shared" si="65"/>
        <v>1.4641822753842589E-3</v>
      </c>
      <c r="S100" s="2"/>
      <c r="T100" s="7">
        <v>3000</v>
      </c>
      <c r="U100" s="2"/>
      <c r="V100" s="6">
        <f t="shared" si="66"/>
        <v>1.0077868329290988E-3</v>
      </c>
      <c r="W100" s="2"/>
      <c r="X100" s="7">
        <f t="shared" si="67"/>
        <v>-196.73999999999978</v>
      </c>
      <c r="Y100" s="2"/>
      <c r="Z100" s="6">
        <f t="shared" si="68"/>
        <v>-6.557999999999993E-2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7"/>
      <c r="E101" s="2"/>
      <c r="F101" s="6">
        <f t="shared" si="61"/>
        <v>0</v>
      </c>
      <c r="G101" s="2"/>
      <c r="H101" s="7">
        <v>1800</v>
      </c>
      <c r="I101" s="2"/>
      <c r="J101" s="6">
        <f t="shared" si="62"/>
        <v>0.10248235026189934</v>
      </c>
      <c r="K101" s="2"/>
      <c r="L101" s="7">
        <f t="shared" si="63"/>
        <v>-1800</v>
      </c>
      <c r="M101" s="2"/>
      <c r="N101" s="6">
        <f t="shared" si="64"/>
        <v>-1</v>
      </c>
      <c r="O101" s="11"/>
      <c r="P101" s="7">
        <v>1852.08</v>
      </c>
      <c r="Q101" s="2"/>
      <c r="R101" s="6">
        <f t="shared" si="65"/>
        <v>9.67367532299422E-4</v>
      </c>
      <c r="S101" s="2"/>
      <c r="T101" s="7">
        <v>1800</v>
      </c>
      <c r="U101" s="2"/>
      <c r="V101" s="6">
        <f t="shared" si="66"/>
        <v>6.0467209975745935E-4</v>
      </c>
      <c r="W101" s="2"/>
      <c r="X101" s="7">
        <f t="shared" si="67"/>
        <v>52.079999999999927</v>
      </c>
      <c r="Y101" s="2"/>
      <c r="Z101" s="6">
        <f t="shared" si="68"/>
        <v>2.8933333333333294E-2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SUM(OSRRefD22_11x_0)</f>
        <v>362.77</v>
      </c>
      <c r="E102" s="1"/>
      <c r="F102" s="5">
        <f t="shared" ref="F102:F105" si="69">IF(D$12=0,0,D102/D$12)</f>
        <v>9.8569938410431046E-3</v>
      </c>
      <c r="G102" s="1"/>
      <c r="H102" s="1">
        <f>SUM(OSRRefH22_11x_0)</f>
        <v>800</v>
      </c>
      <c r="I102" s="1"/>
      <c r="J102" s="5">
        <f t="shared" ref="J102:J105" si="70">IF(H$12=0,0,H102/H$12)</f>
        <v>4.554771122751082E-2</v>
      </c>
      <c r="K102" s="1"/>
      <c r="L102" s="1">
        <f t="shared" ref="L102:L105" si="71">+D102-H102</f>
        <v>-437.23</v>
      </c>
      <c r="M102" s="1"/>
      <c r="N102" s="5">
        <f t="shared" ref="N102:N105" si="72">IF(H102=0,0,L102/H102)</f>
        <v>-0.54653750000000001</v>
      </c>
      <c r="O102" s="13"/>
      <c r="P102" s="1">
        <f>SUM(OSRRefP22_11x_0)</f>
        <v>5373.43</v>
      </c>
      <c r="Q102" s="1"/>
      <c r="R102" s="5">
        <f t="shared" ref="R102:R105" si="73">IF(P$12=0,0,P102/P$12)</f>
        <v>2.8066183529241091E-3</v>
      </c>
      <c r="S102" s="1"/>
      <c r="T102" s="1">
        <f>SUM(OSRRefT22_11x_0)</f>
        <v>12100</v>
      </c>
      <c r="U102" s="1"/>
      <c r="V102" s="5">
        <f t="shared" ref="V102:V105" si="74">IF(T$12=0,0,T102/T$12)</f>
        <v>4.0647402261473654E-3</v>
      </c>
      <c r="W102" s="1"/>
      <c r="X102" s="1">
        <f t="shared" ref="X102:X105" si="75">+P102-T102</f>
        <v>-6726.57</v>
      </c>
      <c r="Y102" s="1"/>
      <c r="Z102" s="5">
        <f t="shared" ref="Z102:Z105" si="76">IF(T102=0,0,X102/T102)</f>
        <v>-0.55591487603305778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7">
        <v>151.37</v>
      </c>
      <c r="E103" s="2"/>
      <c r="F103" s="6">
        <f t="shared" si="69"/>
        <v>4.112945275846114E-3</v>
      </c>
      <c r="G103" s="2"/>
      <c r="H103" s="7">
        <v>300</v>
      </c>
      <c r="I103" s="2"/>
      <c r="J103" s="6">
        <f t="shared" si="70"/>
        <v>1.7080391710316556E-2</v>
      </c>
      <c r="K103" s="2"/>
      <c r="L103" s="7">
        <f t="shared" si="71"/>
        <v>-148.63</v>
      </c>
      <c r="M103" s="2"/>
      <c r="N103" s="6">
        <f t="shared" si="72"/>
        <v>-0.49543333333333334</v>
      </c>
      <c r="O103" s="11"/>
      <c r="P103" s="7">
        <v>1566.67</v>
      </c>
      <c r="Q103" s="2"/>
      <c r="R103" s="6">
        <f t="shared" si="73"/>
        <v>8.1829385978334391E-4</v>
      </c>
      <c r="S103" s="2"/>
      <c r="T103" s="7">
        <v>4200</v>
      </c>
      <c r="U103" s="2"/>
      <c r="V103" s="6">
        <f t="shared" si="74"/>
        <v>1.4109015661007383E-3</v>
      </c>
      <c r="W103" s="2"/>
      <c r="X103" s="7">
        <f t="shared" si="75"/>
        <v>-2633.33</v>
      </c>
      <c r="Y103" s="2"/>
      <c r="Z103" s="6">
        <f t="shared" si="76"/>
        <v>-0.62698333333333334</v>
      </c>
    </row>
    <row r="104" spans="1:26" s="24" customFormat="1" hidden="1" outlineLevel="2" x14ac:dyDescent="0.25">
      <c r="A104" s="26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69"/>
        <v>0</v>
      </c>
      <c r="G104" s="2"/>
      <c r="H104" s="7">
        <v>100</v>
      </c>
      <c r="I104" s="2"/>
      <c r="J104" s="6">
        <f t="shared" si="70"/>
        <v>5.6934639034388525E-3</v>
      </c>
      <c r="K104" s="2"/>
      <c r="L104" s="7">
        <f t="shared" si="71"/>
        <v>-100</v>
      </c>
      <c r="M104" s="2"/>
      <c r="N104" s="6">
        <f t="shared" si="72"/>
        <v>-1</v>
      </c>
      <c r="O104" s="11"/>
      <c r="P104" s="7"/>
      <c r="Q104" s="2"/>
      <c r="R104" s="6">
        <f t="shared" si="73"/>
        <v>0</v>
      </c>
      <c r="S104" s="2"/>
      <c r="T104" s="7">
        <v>2000</v>
      </c>
      <c r="U104" s="2"/>
      <c r="V104" s="6">
        <f t="shared" si="74"/>
        <v>6.7185788861939919E-4</v>
      </c>
      <c r="W104" s="2"/>
      <c r="X104" s="7">
        <f t="shared" si="75"/>
        <v>-2000</v>
      </c>
      <c r="Y104" s="2"/>
      <c r="Z104" s="6">
        <f t="shared" si="76"/>
        <v>-1</v>
      </c>
    </row>
    <row r="105" spans="1:26" s="24" customFormat="1" hidden="1" outlineLevel="2" x14ac:dyDescent="0.25">
      <c r="A105" s="26"/>
      <c r="B105" s="11" t="str">
        <f>CONCATENATE("          ", "6247", " - ", "STORE SUPPLIES")</f>
        <v xml:space="preserve">          6247 - STORE SUPPLIES</v>
      </c>
      <c r="C105" s="11"/>
      <c r="D105" s="7">
        <v>211.4</v>
      </c>
      <c r="E105" s="2"/>
      <c r="F105" s="6">
        <f t="shared" si="69"/>
        <v>5.7440485651969906E-3</v>
      </c>
      <c r="G105" s="2"/>
      <c r="H105" s="7">
        <v>400</v>
      </c>
      <c r="I105" s="2"/>
      <c r="J105" s="6">
        <f t="shared" si="70"/>
        <v>2.277385561375541E-2</v>
      </c>
      <c r="K105" s="2"/>
      <c r="L105" s="7">
        <f t="shared" si="71"/>
        <v>-188.6</v>
      </c>
      <c r="M105" s="2"/>
      <c r="N105" s="6">
        <f t="shared" si="72"/>
        <v>-0.47149999999999997</v>
      </c>
      <c r="O105" s="11"/>
      <c r="P105" s="7">
        <v>3806.76</v>
      </c>
      <c r="Q105" s="2"/>
      <c r="R105" s="6">
        <f t="shared" si="73"/>
        <v>1.9883244931407653E-3</v>
      </c>
      <c r="S105" s="2"/>
      <c r="T105" s="7">
        <v>5900</v>
      </c>
      <c r="U105" s="2"/>
      <c r="V105" s="6">
        <f t="shared" si="74"/>
        <v>1.9819807714272276E-3</v>
      </c>
      <c r="W105" s="2"/>
      <c r="X105" s="7">
        <f t="shared" si="75"/>
        <v>-2093.2399999999998</v>
      </c>
      <c r="Y105" s="2"/>
      <c r="Z105" s="6">
        <f t="shared" si="76"/>
        <v>-0.35478644067796605</v>
      </c>
    </row>
    <row r="106" spans="1:26" s="25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SUM(OSRRefD22_12x_0)</f>
        <v>1003.95</v>
      </c>
      <c r="E106" s="1"/>
      <c r="F106" s="5">
        <f t="shared" ref="F106:F108" si="77">IF(D$12=0,0,D106/D$12)</f>
        <v>2.7278796390868113E-2</v>
      </c>
      <c r="G106" s="1"/>
      <c r="H106" s="1">
        <f>SUM(OSRRefH22_12x_0)</f>
        <v>600</v>
      </c>
      <c r="I106" s="1"/>
      <c r="J106" s="5">
        <f t="shared" ref="J106:J108" si="78">IF(H$12=0,0,H106/H$12)</f>
        <v>3.4160783420633112E-2</v>
      </c>
      <c r="K106" s="1"/>
      <c r="L106" s="1">
        <f t="shared" ref="L106:L108" si="79">+D106-H106</f>
        <v>403.95000000000005</v>
      </c>
      <c r="M106" s="1"/>
      <c r="N106" s="5">
        <f t="shared" ref="N106:N108" si="80">IF(H106=0,0,L106/H106)</f>
        <v>0.67325000000000013</v>
      </c>
      <c r="O106" s="13"/>
      <c r="P106" s="1">
        <f>SUM(OSRRefP22_12x_0)</f>
        <v>8185.9</v>
      </c>
      <c r="Q106" s="1"/>
      <c r="R106" s="5">
        <f t="shared" ref="R106:R108" si="81">IF(P$12=0,0,P106/P$12)</f>
        <v>4.2756111413382999E-3</v>
      </c>
      <c r="S106" s="1"/>
      <c r="T106" s="1">
        <f>SUM(OSRRefT22_12x_0)</f>
        <v>8300</v>
      </c>
      <c r="U106" s="1"/>
      <c r="V106" s="5">
        <f t="shared" ref="V106:V108" si="82">IF(T$12=0,0,T106/T$12)</f>
        <v>2.7882102377705066E-3</v>
      </c>
      <c r="W106" s="1"/>
      <c r="X106" s="1">
        <f t="shared" ref="X106:X108" si="83">+P106-T106</f>
        <v>-114.10000000000036</v>
      </c>
      <c r="Y106" s="1"/>
      <c r="Z106" s="5">
        <f t="shared" ref="Z106:Z108" si="84">IF(T106=0,0,X106/T106)</f>
        <v>-1.3746987951807272E-2</v>
      </c>
    </row>
    <row r="107" spans="1:26" s="24" customFormat="1" hidden="1" outlineLevel="2" x14ac:dyDescent="0.25">
      <c r="A107" s="26"/>
      <c r="B107" s="11" t="str">
        <f>CONCATENATE("          ", "6303", " - ", "DATA PHONE LINES")</f>
        <v xml:space="preserve">          6303 - DATA PHONE LINES</v>
      </c>
      <c r="C107" s="11"/>
      <c r="D107" s="7">
        <v>590</v>
      </c>
      <c r="E107" s="2"/>
      <c r="F107" s="6">
        <f t="shared" si="77"/>
        <v>1.6031166761902669E-2</v>
      </c>
      <c r="G107" s="2"/>
      <c r="H107" s="7">
        <v>300</v>
      </c>
      <c r="I107" s="2"/>
      <c r="J107" s="6">
        <f t="shared" si="78"/>
        <v>1.7080391710316556E-2</v>
      </c>
      <c r="K107" s="2"/>
      <c r="L107" s="7">
        <f t="shared" si="79"/>
        <v>290</v>
      </c>
      <c r="M107" s="2"/>
      <c r="N107" s="6">
        <f t="shared" si="80"/>
        <v>0.96666666666666667</v>
      </c>
      <c r="O107" s="11"/>
      <c r="P107" s="7">
        <v>3540</v>
      </c>
      <c r="Q107" s="2"/>
      <c r="R107" s="6">
        <f t="shared" si="81"/>
        <v>1.8489919789317708E-3</v>
      </c>
      <c r="S107" s="2"/>
      <c r="T107" s="7">
        <v>3000</v>
      </c>
      <c r="U107" s="2"/>
      <c r="V107" s="6">
        <f t="shared" si="82"/>
        <v>1.0077868329290988E-3</v>
      </c>
      <c r="W107" s="2"/>
      <c r="X107" s="7">
        <f t="shared" si="83"/>
        <v>540</v>
      </c>
      <c r="Y107" s="2"/>
      <c r="Z107" s="6">
        <f t="shared" si="84"/>
        <v>0.18</v>
      </c>
    </row>
    <row r="108" spans="1:26" s="24" customFormat="1" hidden="1" outlineLevel="2" x14ac:dyDescent="0.25">
      <c r="A108" s="26"/>
      <c r="B108" s="11" t="str">
        <f>CONCATENATE("          ", "6309", " - ", "TELEPHONE")</f>
        <v xml:space="preserve">          6309 - TELEPHONE</v>
      </c>
      <c r="C108" s="11"/>
      <c r="D108" s="7">
        <v>413.95</v>
      </c>
      <c r="E108" s="2"/>
      <c r="F108" s="6">
        <f t="shared" si="77"/>
        <v>1.1247629628965441E-2</v>
      </c>
      <c r="G108" s="2"/>
      <c r="H108" s="7">
        <v>300</v>
      </c>
      <c r="I108" s="2"/>
      <c r="J108" s="6">
        <f t="shared" si="78"/>
        <v>1.7080391710316556E-2</v>
      </c>
      <c r="K108" s="2"/>
      <c r="L108" s="7">
        <f t="shared" si="79"/>
        <v>113.94999999999999</v>
      </c>
      <c r="M108" s="2"/>
      <c r="N108" s="6">
        <f t="shared" si="80"/>
        <v>0.3798333333333333</v>
      </c>
      <c r="O108" s="11"/>
      <c r="P108" s="7">
        <v>4645.8999999999996</v>
      </c>
      <c r="Q108" s="2"/>
      <c r="R108" s="6">
        <f t="shared" si="81"/>
        <v>2.4266191624065293E-3</v>
      </c>
      <c r="S108" s="2"/>
      <c r="T108" s="7">
        <v>5300</v>
      </c>
      <c r="U108" s="2"/>
      <c r="V108" s="6">
        <f t="shared" si="82"/>
        <v>1.780423404841408E-3</v>
      </c>
      <c r="W108" s="2"/>
      <c r="X108" s="7">
        <f t="shared" si="83"/>
        <v>-654.10000000000036</v>
      </c>
      <c r="Y108" s="2"/>
      <c r="Z108" s="6">
        <f t="shared" si="84"/>
        <v>-0.12341509433962271</v>
      </c>
    </row>
    <row r="109" spans="1:26" s="25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SUM(OSRRefD22_13x_0)</f>
        <v>0</v>
      </c>
      <c r="E109" s="1"/>
      <c r="F109" s="5">
        <f t="shared" ref="F109:F112" si="85">IF(D$12=0,0,D109/D$12)</f>
        <v>0</v>
      </c>
      <c r="G109" s="1"/>
      <c r="H109" s="1">
        <f>SUM(OSRRefH22_13x_0)</f>
        <v>0</v>
      </c>
      <c r="I109" s="1"/>
      <c r="J109" s="5">
        <f t="shared" ref="J109:J112" si="86">IF(H$12=0,0,H109/H$12)</f>
        <v>0</v>
      </c>
      <c r="K109" s="1"/>
      <c r="L109" s="1">
        <f t="shared" ref="L109:L112" si="87">+D109-H109</f>
        <v>0</v>
      </c>
      <c r="M109" s="1"/>
      <c r="N109" s="5">
        <f t="shared" ref="N109:N112" si="88">IF(H109=0,0,L109/H109)</f>
        <v>0</v>
      </c>
      <c r="O109" s="13"/>
      <c r="P109" s="1">
        <f>SUM(OSRRefP22_13x_0)</f>
        <v>0</v>
      </c>
      <c r="Q109" s="1"/>
      <c r="R109" s="5">
        <f t="shared" ref="R109:R112" si="89">IF(P$12=0,0,P109/P$12)</f>
        <v>0</v>
      </c>
      <c r="S109" s="1"/>
      <c r="T109" s="1">
        <f>SUM(OSRRefT22_13x_0)</f>
        <v>5000</v>
      </c>
      <c r="U109" s="1"/>
      <c r="V109" s="5">
        <f t="shared" ref="V109:V112" si="90">IF(T$12=0,0,T109/T$12)</f>
        <v>1.6796447215484981E-3</v>
      </c>
      <c r="W109" s="1"/>
      <c r="X109" s="1">
        <f t="shared" ref="X109:X112" si="91">+P109-T109</f>
        <v>-5000</v>
      </c>
      <c r="Y109" s="1"/>
      <c r="Z109" s="5">
        <f t="shared" ref="Z109:Z112" si="92">IF(T109=0,0,X109/T109)</f>
        <v>-1</v>
      </c>
    </row>
    <row r="110" spans="1:26" s="24" customFormat="1" hidden="1" outlineLevel="2" x14ac:dyDescent="0.25">
      <c r="A110" s="26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85"/>
        <v>0</v>
      </c>
      <c r="G110" s="2"/>
      <c r="H110" s="7"/>
      <c r="I110" s="2"/>
      <c r="J110" s="6">
        <f t="shared" si="86"/>
        <v>0</v>
      </c>
      <c r="K110" s="2"/>
      <c r="L110" s="7">
        <f t="shared" si="87"/>
        <v>0</v>
      </c>
      <c r="M110" s="2"/>
      <c r="N110" s="6">
        <f t="shared" si="88"/>
        <v>0</v>
      </c>
      <c r="O110" s="11"/>
      <c r="P110" s="7"/>
      <c r="Q110" s="2"/>
      <c r="R110" s="6">
        <f t="shared" si="89"/>
        <v>0</v>
      </c>
      <c r="S110" s="2"/>
      <c r="T110" s="7">
        <v>5000</v>
      </c>
      <c r="U110" s="2"/>
      <c r="V110" s="6">
        <f t="shared" si="90"/>
        <v>1.6796447215484981E-3</v>
      </c>
      <c r="W110" s="2"/>
      <c r="X110" s="7">
        <f t="shared" si="91"/>
        <v>-5000</v>
      </c>
      <c r="Y110" s="2"/>
      <c r="Z110" s="6">
        <f t="shared" si="92"/>
        <v>-1</v>
      </c>
    </row>
    <row r="111" spans="1:26" s="25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SUM(OSRRefD22_14x_0)</f>
        <v>0</v>
      </c>
      <c r="E111" s="1"/>
      <c r="F111" s="5">
        <f t="shared" si="85"/>
        <v>0</v>
      </c>
      <c r="G111" s="1"/>
      <c r="H111" s="1">
        <f>SUM(OSRRefH22_14x_0)</f>
        <v>0</v>
      </c>
      <c r="I111" s="1"/>
      <c r="J111" s="5">
        <f t="shared" si="86"/>
        <v>0</v>
      </c>
      <c r="K111" s="1"/>
      <c r="L111" s="1">
        <f t="shared" si="87"/>
        <v>0</v>
      </c>
      <c r="M111" s="1"/>
      <c r="N111" s="5">
        <f t="shared" si="88"/>
        <v>0</v>
      </c>
      <c r="O111" s="13"/>
      <c r="P111" s="1">
        <f>SUM(OSRRefP22_14x_0)</f>
        <v>0.16</v>
      </c>
      <c r="Q111" s="1"/>
      <c r="R111" s="5">
        <f t="shared" si="89"/>
        <v>8.3570258934769304E-8</v>
      </c>
      <c r="S111" s="1"/>
      <c r="T111" s="1">
        <f>SUM(OSRRefT22_14x_0)</f>
        <v>0</v>
      </c>
      <c r="U111" s="1"/>
      <c r="V111" s="5">
        <f t="shared" si="90"/>
        <v>0</v>
      </c>
      <c r="W111" s="1"/>
      <c r="X111" s="1">
        <f t="shared" si="91"/>
        <v>0.16</v>
      </c>
      <c r="Y111" s="1"/>
      <c r="Z111" s="5">
        <f t="shared" si="92"/>
        <v>0</v>
      </c>
    </row>
    <row r="112" spans="1:26" s="24" customFormat="1" hidden="1" outlineLevel="2" x14ac:dyDescent="0.25">
      <c r="A112" s="26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85"/>
        <v>0</v>
      </c>
      <c r="G112" s="2"/>
      <c r="H112" s="7"/>
      <c r="I112" s="2"/>
      <c r="J112" s="6">
        <f t="shared" si="86"/>
        <v>0</v>
      </c>
      <c r="K112" s="2"/>
      <c r="L112" s="7">
        <f t="shared" si="87"/>
        <v>0</v>
      </c>
      <c r="M112" s="2"/>
      <c r="N112" s="6">
        <f t="shared" si="88"/>
        <v>0</v>
      </c>
      <c r="O112" s="11"/>
      <c r="P112" s="7">
        <v>0.16</v>
      </c>
      <c r="Q112" s="2"/>
      <c r="R112" s="6">
        <f t="shared" si="89"/>
        <v>8.3570258934769304E-8</v>
      </c>
      <c r="S112" s="2"/>
      <c r="T112" s="7"/>
      <c r="U112" s="2"/>
      <c r="V112" s="6">
        <f t="shared" si="90"/>
        <v>0</v>
      </c>
      <c r="W112" s="2"/>
      <c r="X112" s="7">
        <f t="shared" si="91"/>
        <v>0.16</v>
      </c>
      <c r="Y112" s="2"/>
      <c r="Z112" s="6">
        <f t="shared" si="92"/>
        <v>0</v>
      </c>
    </row>
    <row r="113" spans="1:26" s="61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9" t="s">
        <v>293</v>
      </c>
      <c r="C114" s="10"/>
      <c r="D114" s="4">
        <f>SUM(OSRRefD25x_0)</f>
        <v>505.94</v>
      </c>
      <c r="E114" s="4"/>
      <c r="F114" s="12">
        <f t="shared" ref="F114:F117" si="93">IF(D$12=0,0,D114/D$12)</f>
        <v>1.3747133070367859E-2</v>
      </c>
      <c r="G114" s="4"/>
      <c r="H114" s="4">
        <f>SUM(OSRRefH25x_0)</f>
        <v>400</v>
      </c>
      <c r="I114" s="4"/>
      <c r="J114" s="12">
        <f t="shared" ref="J114:J117" si="94">IF(H$12=0,0,H114/H$12)</f>
        <v>2.277385561375541E-2</v>
      </c>
      <c r="K114" s="4"/>
      <c r="L114" s="4">
        <f t="shared" ref="L114:L117" si="95">+D114-H114</f>
        <v>105.94</v>
      </c>
      <c r="M114" s="4"/>
      <c r="N114" s="12">
        <f t="shared" ref="N114:N117" si="96">IF(H114=0,0,L114/H114)</f>
        <v>0.26484999999999997</v>
      </c>
      <c r="O114" s="10"/>
      <c r="P114" s="4">
        <f>SUM(OSRRefP25x_0)</f>
        <v>331308.07</v>
      </c>
      <c r="Q114" s="4"/>
      <c r="R114" s="12">
        <f t="shared" ref="R114:R117" si="97">IF(P$12=0,0,P114/P$12)</f>
        <v>0.17304688248174172</v>
      </c>
      <c r="S114" s="4"/>
      <c r="T114" s="4">
        <f>SUM(OSRRefT25x_0)</f>
        <v>197080</v>
      </c>
      <c r="U114" s="4"/>
      <c r="V114" s="12">
        <f t="shared" ref="V114:V117" si="98">IF(T$12=0,0,T114/T$12)</f>
        <v>6.6204876344555602E-2</v>
      </c>
      <c r="W114" s="4"/>
      <c r="X114" s="4">
        <f t="shared" ref="X114:X117" si="99">+P114-T114</f>
        <v>134228.07</v>
      </c>
      <c r="Y114" s="4"/>
      <c r="Z114" s="12">
        <f t="shared" ref="Z114:Z117" si="100">IF(T114=0,0,X114/T114)</f>
        <v>0.68108417901359852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 t="shared" ref="D115:D116" si="101">0</f>
        <v>0</v>
      </c>
      <c r="E115" s="2"/>
      <c r="F115" s="19">
        <f t="shared" si="93"/>
        <v>0</v>
      </c>
      <c r="G115" s="2"/>
      <c r="H115" s="2">
        <v>400</v>
      </c>
      <c r="I115" s="2"/>
      <c r="J115" s="19">
        <f t="shared" si="94"/>
        <v>2.277385561375541E-2</v>
      </c>
      <c r="K115" s="2"/>
      <c r="L115" s="2">
        <f t="shared" si="95"/>
        <v>-400</v>
      </c>
      <c r="M115" s="2"/>
      <c r="N115" s="19">
        <f t="shared" si="96"/>
        <v>-1</v>
      </c>
      <c r="O115" s="11"/>
      <c r="P115" s="2">
        <f>--31463.11</f>
        <v>31463.11</v>
      </c>
      <c r="Q115" s="2"/>
      <c r="R115" s="19">
        <f t="shared" si="97"/>
        <v>1.643362655995706E-2</v>
      </c>
      <c r="S115" s="2"/>
      <c r="T115" s="2">
        <v>26000</v>
      </c>
      <c r="U115" s="2"/>
      <c r="V115" s="19">
        <f t="shared" si="98"/>
        <v>8.7341525520521907E-3</v>
      </c>
      <c r="W115" s="2"/>
      <c r="X115" s="2">
        <f t="shared" si="99"/>
        <v>5463.1100000000006</v>
      </c>
      <c r="Y115" s="2"/>
      <c r="Z115" s="19">
        <f t="shared" si="100"/>
        <v>0.2101196153846154</v>
      </c>
    </row>
    <row r="116" spans="1:26" s="24" customFormat="1" hidden="1" outlineLevel="1" x14ac:dyDescent="0.25">
      <c r="A116" s="44"/>
      <c r="B116" s="11" t="str">
        <f>CONCATENATE("          ", "9151", " - ", "MISC. INCOME")</f>
        <v xml:space="preserve">          9151 - MISC. INCOME</v>
      </c>
      <c r="C116" s="11"/>
      <c r="D116" s="2">
        <f t="shared" si="101"/>
        <v>0</v>
      </c>
      <c r="E116" s="2"/>
      <c r="F116" s="19">
        <f t="shared" si="93"/>
        <v>0</v>
      </c>
      <c r="G116" s="2"/>
      <c r="H116" s="2"/>
      <c r="I116" s="2"/>
      <c r="J116" s="19">
        <f t="shared" si="94"/>
        <v>0</v>
      </c>
      <c r="K116" s="2"/>
      <c r="L116" s="2">
        <f t="shared" si="95"/>
        <v>0</v>
      </c>
      <c r="M116" s="2"/>
      <c r="N116" s="19">
        <f t="shared" si="96"/>
        <v>0</v>
      </c>
      <c r="O116" s="11"/>
      <c r="P116" s="2">
        <f>--295628.46</f>
        <v>295628.46000000002</v>
      </c>
      <c r="Q116" s="2"/>
      <c r="R116" s="19">
        <f t="shared" si="97"/>
        <v>0.15441091844179433</v>
      </c>
      <c r="S116" s="2"/>
      <c r="T116" s="2">
        <v>171080</v>
      </c>
      <c r="U116" s="2"/>
      <c r="V116" s="19">
        <f t="shared" si="98"/>
        <v>5.7470723792503411E-2</v>
      </c>
      <c r="W116" s="2"/>
      <c r="X116" s="2">
        <f t="shared" si="99"/>
        <v>124548.46000000002</v>
      </c>
      <c r="Y116" s="2"/>
      <c r="Z116" s="19">
        <f t="shared" si="100"/>
        <v>0.72801297638531692</v>
      </c>
    </row>
    <row r="117" spans="1:26" s="24" customFormat="1" hidden="1" outlineLevel="1" x14ac:dyDescent="0.25">
      <c r="A117" s="44"/>
      <c r="B117" s="11" t="str">
        <f>CONCATENATE("          ", "9152", " - ", "MISC. INCOME")</f>
        <v xml:space="preserve">          9152 - MISC. INCOME</v>
      </c>
      <c r="C117" s="11"/>
      <c r="D117" s="2">
        <f>--505.94</f>
        <v>505.94</v>
      </c>
      <c r="E117" s="2"/>
      <c r="F117" s="19">
        <f t="shared" si="93"/>
        <v>1.3747133070367859E-2</v>
      </c>
      <c r="G117" s="2"/>
      <c r="H117" s="2"/>
      <c r="I117" s="2"/>
      <c r="J117" s="19">
        <f t="shared" si="94"/>
        <v>0</v>
      </c>
      <c r="K117" s="2"/>
      <c r="L117" s="2">
        <f t="shared" si="95"/>
        <v>505.94</v>
      </c>
      <c r="M117" s="2"/>
      <c r="N117" s="19">
        <f t="shared" si="96"/>
        <v>0</v>
      </c>
      <c r="O117" s="11"/>
      <c r="P117" s="2">
        <f>--4216.5</f>
        <v>4216.5</v>
      </c>
      <c r="Q117" s="2"/>
      <c r="R117" s="19">
        <f t="shared" si="97"/>
        <v>2.2023374799903421E-3</v>
      </c>
      <c r="S117" s="2"/>
      <c r="T117" s="2"/>
      <c r="U117" s="2"/>
      <c r="V117" s="19">
        <f t="shared" si="98"/>
        <v>0</v>
      </c>
      <c r="W117" s="2"/>
      <c r="X117" s="2">
        <f t="shared" si="99"/>
        <v>4216.5</v>
      </c>
      <c r="Y117" s="2"/>
      <c r="Z117" s="19">
        <f t="shared" si="100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8" t="s">
        <v>277</v>
      </c>
      <c r="C119" s="28"/>
      <c r="D119" s="21">
        <f>+D54-D56+D114</f>
        <v>-46258.900000000023</v>
      </c>
      <c r="E119" s="14"/>
      <c r="F119" s="20">
        <f>IF(D$12=0,0,D119/D$12)</f>
        <v>-1.2569222713935251</v>
      </c>
      <c r="G119" s="14"/>
      <c r="H119" s="21">
        <f>+H54-H56+H114</f>
        <v>-47313.399279826939</v>
      </c>
      <c r="I119" s="14"/>
      <c r="J119" s="20">
        <f>IF(H$12=0,0,H119/H$12)</f>
        <v>-2.6937713094868445</v>
      </c>
      <c r="K119" s="16"/>
      <c r="L119" s="21">
        <f>+D119-H119</f>
        <v>1054.4992798269159</v>
      </c>
      <c r="M119" s="16"/>
      <c r="N119" s="20">
        <f>IF(H119=0,0,L119/H119)</f>
        <v>-2.2287540017792037E-2</v>
      </c>
      <c r="O119" s="29"/>
      <c r="P119" s="21">
        <f>+P54-P56+P114</f>
        <v>422698.44000000006</v>
      </c>
      <c r="Q119" s="14"/>
      <c r="R119" s="20">
        <f>IF(P$12=0,0,P119/P$12)</f>
        <v>0.22078136301326906</v>
      </c>
      <c r="S119" s="14"/>
      <c r="T119" s="21">
        <f>+T54-T56+T114</f>
        <v>451117.74397202348</v>
      </c>
      <c r="U119" s="14"/>
      <c r="V119" s="20">
        <f>IF(T$12=0,0,T119/T$12)</f>
        <v>0.15154350749189521</v>
      </c>
      <c r="W119" s="16"/>
      <c r="X119" s="21">
        <f>+P119-T119</f>
        <v>-28419.303972023423</v>
      </c>
      <c r="Y119" s="16"/>
      <c r="Z119" s="20">
        <f>IF(T119=0,0,X119/T119)</f>
        <v>-6.2997530803811333E-2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128</v>
      </c>
      <c r="C121" s="10"/>
      <c r="D121" s="4">
        <v>13544</v>
      </c>
      <c r="E121" s="4"/>
      <c r="F121" s="12">
        <f>IF(D$12=0,0,D121/D$12)</f>
        <v>0.36801037732747416</v>
      </c>
      <c r="G121" s="4"/>
      <c r="H121" s="4">
        <v>15928</v>
      </c>
      <c r="I121" s="4"/>
      <c r="J121" s="12">
        <f>IF(H$12=0,0,H121/H$12)</f>
        <v>0.90685493053974042</v>
      </c>
      <c r="K121" s="4"/>
      <c r="L121" s="4">
        <f>+D121-H121</f>
        <v>-2384</v>
      </c>
      <c r="M121" s="4"/>
      <c r="N121" s="12">
        <f>IF(H121=0,0,L121/H121)</f>
        <v>-0.14967353088900051</v>
      </c>
      <c r="O121" s="10"/>
      <c r="P121" s="4">
        <v>400533.03</v>
      </c>
      <c r="Q121" s="4"/>
      <c r="R121" s="12">
        <f>IF(P$12=0,0,P121/P$12)</f>
        <v>0.20920405643142329</v>
      </c>
      <c r="S121" s="4"/>
      <c r="T121" s="4">
        <v>539243</v>
      </c>
      <c r="U121" s="4"/>
      <c r="V121" s="12">
        <f>IF(T$12=0,0,T121/T$12)</f>
        <v>0.18114733171639535</v>
      </c>
      <c r="W121" s="4"/>
      <c r="X121" s="4">
        <f>+P121-T121</f>
        <v>-138709.96999999997</v>
      </c>
      <c r="Y121" s="4"/>
      <c r="Z121" s="12">
        <f>IF(T121=0,0,X121/T121)</f>
        <v>-0.25723091444858809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126</v>
      </c>
      <c r="C123" s="28"/>
      <c r="D123" s="31">
        <f>+D119-D121</f>
        <v>-59802.900000000023</v>
      </c>
      <c r="E123" s="14"/>
      <c r="F123" s="33">
        <f>IF(D$12=0,0,D123/D$12)</f>
        <v>-1.6249326487209992</v>
      </c>
      <c r="G123" s="14"/>
      <c r="H123" s="31">
        <f>+H119-H121</f>
        <v>-63241.399279826939</v>
      </c>
      <c r="I123" s="14"/>
      <c r="J123" s="33">
        <f>IF(H$12=0,0,H123/H$12)</f>
        <v>-3.6006262400265849</v>
      </c>
      <c r="K123" s="16"/>
      <c r="L123" s="31">
        <f>D123-H123</f>
        <v>3438.4992798269159</v>
      </c>
      <c r="M123" s="16"/>
      <c r="N123" s="33">
        <f>IF(H123=0,0,L123/H123)</f>
        <v>-5.4371018335828407E-2</v>
      </c>
      <c r="O123" s="29"/>
      <c r="P123" s="31">
        <f>+P119-P121</f>
        <v>22165.410000000033</v>
      </c>
      <c r="Q123" s="14"/>
      <c r="R123" s="33">
        <f>IF(P$12=0,0,P123/P$12)</f>
        <v>1.1577306581845798E-2</v>
      </c>
      <c r="S123" s="14"/>
      <c r="T123" s="31">
        <f>+T119-T121</f>
        <v>-88125.256027976517</v>
      </c>
      <c r="U123" s="14"/>
      <c r="V123" s="33">
        <f>IF(T$12=0,0,T123/T$12)</f>
        <v>-2.9603824224500145E-2</v>
      </c>
      <c r="W123" s="16"/>
      <c r="X123" s="31">
        <f>P123-T123</f>
        <v>110290.66602797655</v>
      </c>
      <c r="Y123" s="16"/>
      <c r="Z123" s="33">
        <f>IF(T123=0,0,X123/T123)</f>
        <v>-1.2515216522373942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294</v>
      </c>
      <c r="C126" s="28"/>
      <c r="D126" s="34">
        <f>SUM(D123:D125)</f>
        <v>-59802.900000000023</v>
      </c>
      <c r="E126" s="14"/>
      <c r="F126" s="35">
        <f>IF(D$12=0,0,D126/D$12)</f>
        <v>-1.6249326487209992</v>
      </c>
      <c r="G126" s="14"/>
      <c r="H126" s="34">
        <f>SUM(H123:H125)</f>
        <v>-63241.399279826939</v>
      </c>
      <c r="I126" s="14"/>
      <c r="J126" s="35">
        <f>IF(H$12=0,0,H126/H$12)</f>
        <v>-3.6006262400265849</v>
      </c>
      <c r="K126" s="16"/>
      <c r="L126" s="34">
        <f>+D126-H126</f>
        <v>3438.4992798269159</v>
      </c>
      <c r="M126" s="16"/>
      <c r="N126" s="35">
        <f>IF(H126=0,0,L126/H126)</f>
        <v>-5.4371018335828407E-2</v>
      </c>
      <c r="O126" s="29"/>
      <c r="P126" s="34">
        <f>SUM(P123:P125)</f>
        <v>22165.410000000033</v>
      </c>
      <c r="Q126" s="14"/>
      <c r="R126" s="35">
        <f>IF(P$12=0,0,P126/P$12)</f>
        <v>1.1577306581845798E-2</v>
      </c>
      <c r="S126" s="14"/>
      <c r="T126" s="34">
        <f>SUM(T123:T125)</f>
        <v>-88125.256027976517</v>
      </c>
      <c r="U126" s="14"/>
      <c r="V126" s="35">
        <f>IF(T$12=0,0,T126/T$12)</f>
        <v>-2.9603824224500145E-2</v>
      </c>
      <c r="W126" s="16"/>
      <c r="X126" s="34">
        <f>+P126-T126</f>
        <v>110290.66602797655</v>
      </c>
      <c r="Y126" s="16"/>
      <c r="Z126" s="35">
        <f>IF(T126=0,0,X126/T126)</f>
        <v>-1.2515216522373942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2">
        <v>44330.0058283912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 t="s">
        <v>56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5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-11152.18</v>
      </c>
      <c r="E12" s="4"/>
      <c r="F12" s="12"/>
      <c r="G12" s="4"/>
      <c r="H12" s="4">
        <f>SUM(OSRRefH13x_0)</f>
        <v>2061</v>
      </c>
      <c r="I12" s="4"/>
      <c r="J12" s="12"/>
      <c r="K12" s="4"/>
      <c r="L12" s="4">
        <f t="shared" ref="L12:L16" si="0">+D12-H12</f>
        <v>-13213.18</v>
      </c>
      <c r="M12" s="4"/>
      <c r="N12" s="12">
        <f t="shared" ref="N12:N16" si="1">IF(H12=0,0,L12/H12)</f>
        <v>-6.4110528869480836</v>
      </c>
      <c r="O12" s="10"/>
      <c r="P12" s="4">
        <f>SUM(OSRRefP13x_0)</f>
        <v>765079.81</v>
      </c>
      <c r="Q12" s="4"/>
      <c r="R12" s="12"/>
      <c r="S12" s="4"/>
      <c r="T12" s="4">
        <f>SUM(OSRRefT13x_0)</f>
        <v>1418034</v>
      </c>
      <c r="U12" s="4"/>
      <c r="V12" s="12"/>
      <c r="W12" s="4"/>
      <c r="X12" s="4">
        <f t="shared" ref="X12:X16" si="2">+P12-T12</f>
        <v>-652954.18999999994</v>
      </c>
      <c r="Y12" s="4"/>
      <c r="Z12" s="12">
        <f t="shared" ref="Z12:Z16" si="3">IF(T12=0,0,X12/T12)</f>
        <v>-0.4604644105853597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2061</v>
      </c>
      <c r="I13" s="2"/>
      <c r="J13" s="19"/>
      <c r="K13" s="2"/>
      <c r="L13" s="2">
        <f t="shared" si="0"/>
        <v>-2061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1418034</v>
      </c>
      <c r="U13" s="2"/>
      <c r="V13" s="19"/>
      <c r="W13" s="2"/>
      <c r="X13" s="2">
        <f t="shared" si="2"/>
        <v>-1418034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--552.45</f>
        <v>552.45000000000005</v>
      </c>
      <c r="E14" s="2"/>
      <c r="F14" s="19"/>
      <c r="G14" s="2"/>
      <c r="H14" s="2"/>
      <c r="I14" s="2"/>
      <c r="J14" s="19"/>
      <c r="K14" s="2"/>
      <c r="L14" s="2">
        <f t="shared" si="0"/>
        <v>552.45000000000005</v>
      </c>
      <c r="M14" s="2"/>
      <c r="N14" s="19">
        <f t="shared" si="1"/>
        <v>0</v>
      </c>
      <c r="O14" s="11"/>
      <c r="P14" s="2">
        <f>--264005.38</f>
        <v>264005.38</v>
      </c>
      <c r="Q14" s="2"/>
      <c r="R14" s="19"/>
      <c r="S14" s="2"/>
      <c r="T14" s="2"/>
      <c r="U14" s="2"/>
      <c r="V14" s="19"/>
      <c r="W14" s="2"/>
      <c r="X14" s="2">
        <f t="shared" si="2"/>
        <v>264005.38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--680.7</f>
        <v>680.7</v>
      </c>
      <c r="E15" s="2"/>
      <c r="F15" s="19"/>
      <c r="G15" s="2"/>
      <c r="H15" s="2"/>
      <c r="I15" s="2"/>
      <c r="J15" s="19"/>
      <c r="K15" s="2"/>
      <c r="L15" s="2">
        <f t="shared" si="0"/>
        <v>680.7</v>
      </c>
      <c r="M15" s="2"/>
      <c r="N15" s="19">
        <f t="shared" si="1"/>
        <v>0</v>
      </c>
      <c r="O15" s="11"/>
      <c r="P15" s="2">
        <f>--227235.66</f>
        <v>227235.66</v>
      </c>
      <c r="Q15" s="2"/>
      <c r="R15" s="19"/>
      <c r="S15" s="2"/>
      <c r="T15" s="2"/>
      <c r="U15" s="2"/>
      <c r="V15" s="19"/>
      <c r="W15" s="2"/>
      <c r="X15" s="2">
        <f t="shared" si="2"/>
        <v>227235.66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-12385.33</f>
        <v>-12385.33</v>
      </c>
      <c r="E16" s="2"/>
      <c r="F16" s="19"/>
      <c r="G16" s="2"/>
      <c r="H16" s="2"/>
      <c r="I16" s="2"/>
      <c r="J16" s="19"/>
      <c r="K16" s="2"/>
      <c r="L16" s="2">
        <f t="shared" si="0"/>
        <v>-12385.33</v>
      </c>
      <c r="M16" s="2"/>
      <c r="N16" s="19">
        <f t="shared" si="1"/>
        <v>0</v>
      </c>
      <c r="O16" s="11"/>
      <c r="P16" s="2">
        <f>--273838.77</f>
        <v>273838.77</v>
      </c>
      <c r="Q16" s="2"/>
      <c r="R16" s="19"/>
      <c r="S16" s="2"/>
      <c r="T16" s="2"/>
      <c r="U16" s="2"/>
      <c r="V16" s="19"/>
      <c r="W16" s="2"/>
      <c r="X16" s="2">
        <f t="shared" si="2"/>
        <v>273838.77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274.5</v>
      </c>
      <c r="E18" s="4"/>
      <c r="F18" s="12">
        <f t="shared" ref="F18:F21" si="4">IF(D$12=0,0,D18/D$12)</f>
        <v>-2.461402165316557E-2</v>
      </c>
      <c r="G18" s="4"/>
      <c r="H18" s="4">
        <f>SUM(OSRRefH16x_0)</f>
        <v>1494</v>
      </c>
      <c r="I18" s="4"/>
      <c r="J18" s="12">
        <f t="shared" ref="J18:J21" si="5">IF(H$12=0,0,H18/H$12)</f>
        <v>0.72489082969432317</v>
      </c>
      <c r="K18" s="4"/>
      <c r="L18" s="4">
        <f t="shared" ref="L18:L21" si="6">+D18-H18</f>
        <v>-1219.5</v>
      </c>
      <c r="M18" s="4"/>
      <c r="N18" s="12">
        <f t="shared" ref="N18:N21" si="7">IF(H18=0,0,L18/H18)</f>
        <v>-0.8162650602409639</v>
      </c>
      <c r="O18" s="10"/>
      <c r="P18" s="4">
        <f>SUM(OSRRefP16x_0)</f>
        <v>543197.22</v>
      </c>
      <c r="Q18" s="4"/>
      <c r="R18" s="12">
        <f t="shared" ref="R18:R21" si="8">IF(P$12=0,0,P18/P$12)</f>
        <v>0.70998765475199244</v>
      </c>
      <c r="S18" s="4"/>
      <c r="T18" s="4">
        <f>SUM(OSRRefT16x_0)</f>
        <v>1030920</v>
      </c>
      <c r="U18" s="4"/>
      <c r="V18" s="12">
        <f t="shared" ref="V18:V21" si="9">IF(T$12=0,0,T18/T$12)</f>
        <v>0.72700654568226153</v>
      </c>
      <c r="W18" s="4"/>
      <c r="X18" s="4">
        <f t="shared" ref="X18:X21" si="10">+P18-T18</f>
        <v>-487722.78</v>
      </c>
      <c r="Y18" s="4"/>
      <c r="Z18" s="12">
        <f t="shared" ref="Z18:Z21" si="11">IF(T18=0,0,X18/T18)</f>
        <v>-0.47309469211966015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1494</v>
      </c>
      <c r="I19" s="2"/>
      <c r="J19" s="19">
        <f t="shared" si="5"/>
        <v>0.72489082969432317</v>
      </c>
      <c r="K19" s="2"/>
      <c r="L19" s="2">
        <f t="shared" si="6"/>
        <v>-1494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1030920</v>
      </c>
      <c r="U19" s="2"/>
      <c r="V19" s="19">
        <f t="shared" si="9"/>
        <v>0.72700654568226153</v>
      </c>
      <c r="W19" s="2"/>
      <c r="X19" s="2">
        <f t="shared" si="10"/>
        <v>-1030920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128.88999999999999</v>
      </c>
      <c r="E20" s="2"/>
      <c r="F20" s="19">
        <f t="shared" si="4"/>
        <v>-1.1557381606107505E-2</v>
      </c>
      <c r="G20" s="2"/>
      <c r="H20" s="2"/>
      <c r="I20" s="2"/>
      <c r="J20" s="19">
        <f t="shared" si="5"/>
        <v>0</v>
      </c>
      <c r="K20" s="2"/>
      <c r="L20" s="2">
        <f t="shared" si="6"/>
        <v>128.88999999999999</v>
      </c>
      <c r="M20" s="2"/>
      <c r="N20" s="19">
        <f t="shared" si="7"/>
        <v>0</v>
      </c>
      <c r="O20" s="11"/>
      <c r="P20" s="2">
        <v>300559.03000000003</v>
      </c>
      <c r="Q20" s="2"/>
      <c r="R20" s="19">
        <f t="shared" si="8"/>
        <v>0.39284663648358464</v>
      </c>
      <c r="S20" s="2"/>
      <c r="T20" s="2"/>
      <c r="U20" s="2"/>
      <c r="V20" s="19">
        <f t="shared" si="9"/>
        <v>0</v>
      </c>
      <c r="W20" s="2"/>
      <c r="X20" s="2">
        <f t="shared" si="10"/>
        <v>300559.03000000003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145.61000000000001</v>
      </c>
      <c r="E21" s="2"/>
      <c r="F21" s="19">
        <f t="shared" si="4"/>
        <v>-1.3056640047058065E-2</v>
      </c>
      <c r="G21" s="2"/>
      <c r="H21" s="2"/>
      <c r="I21" s="2"/>
      <c r="J21" s="19">
        <f t="shared" si="5"/>
        <v>0</v>
      </c>
      <c r="K21" s="2"/>
      <c r="L21" s="2">
        <f t="shared" si="6"/>
        <v>145.61000000000001</v>
      </c>
      <c r="M21" s="2"/>
      <c r="N21" s="19">
        <f t="shared" si="7"/>
        <v>0</v>
      </c>
      <c r="O21" s="11"/>
      <c r="P21" s="2">
        <v>242638.19</v>
      </c>
      <c r="Q21" s="2"/>
      <c r="R21" s="19">
        <f t="shared" si="8"/>
        <v>0.31714101826840785</v>
      </c>
      <c r="S21" s="2"/>
      <c r="T21" s="2"/>
      <c r="U21" s="2"/>
      <c r="V21" s="19">
        <f t="shared" si="9"/>
        <v>0</v>
      </c>
      <c r="W21" s="2"/>
      <c r="X21" s="2">
        <f t="shared" si="10"/>
        <v>242638.19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1">
        <f>D12-D18</f>
        <v>-11426.68</v>
      </c>
      <c r="E23" s="14"/>
      <c r="F23" s="20">
        <f>IF(D$12=0,0,D23/D$12)</f>
        <v>1.0246140216531656</v>
      </c>
      <c r="G23" s="14"/>
      <c r="H23" s="21">
        <f>H12-H18</f>
        <v>567</v>
      </c>
      <c r="I23" s="14"/>
      <c r="J23" s="20">
        <f>IF(H$12=0,0,H23/H$12)</f>
        <v>0.27510917030567683</v>
      </c>
      <c r="K23" s="16"/>
      <c r="L23" s="21">
        <f>+D23-H23</f>
        <v>-11993.68</v>
      </c>
      <c r="M23" s="16"/>
      <c r="N23" s="20">
        <f>IF(H23=0,0,L23/H23)</f>
        <v>-21.152874779541445</v>
      </c>
      <c r="O23" s="29"/>
      <c r="P23" s="21">
        <f>P12-P18</f>
        <v>221882.59000000008</v>
      </c>
      <c r="Q23" s="14"/>
      <c r="R23" s="20">
        <f>IF(P$12=0,0,P23/P$12)</f>
        <v>0.29001234524800762</v>
      </c>
      <c r="S23" s="14"/>
      <c r="T23" s="21">
        <f>T12-T18</f>
        <v>387114</v>
      </c>
      <c r="U23" s="14"/>
      <c r="V23" s="20">
        <f>IF(T$12=0,0,T23/T$12)</f>
        <v>0.27299345431773853</v>
      </c>
      <c r="W23" s="16"/>
      <c r="X23" s="21">
        <f>+P23-T23</f>
        <v>-165231.40999999992</v>
      </c>
      <c r="Y23" s="16"/>
      <c r="Z23" s="20">
        <f>IF(T23=0,0,X23/T23)</f>
        <v>-0.42682881528438632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0</v>
      </c>
      <c r="E25" s="22"/>
      <c r="F25" s="32">
        <f t="shared" ref="F25:F34" si="12">IF(D$12=0,0,D25/D$12)</f>
        <v>0</v>
      </c>
      <c r="G25" s="22"/>
      <c r="H25" s="22">
        <f>SUM(OSRRefH22x_0)</f>
        <v>0</v>
      </c>
      <c r="I25" s="22"/>
      <c r="J25" s="32">
        <f t="shared" ref="J25:J34" si="13">IF(H$12=0,0,H25/H$12)</f>
        <v>0</v>
      </c>
      <c r="K25" s="4"/>
      <c r="L25" s="22">
        <f t="shared" ref="L25:L34" si="14">+D25-H25</f>
        <v>0</v>
      </c>
      <c r="M25" s="4"/>
      <c r="N25" s="32">
        <f t="shared" ref="N25:N34" si="15">IF(H25=0,0,L25/H25)</f>
        <v>0</v>
      </c>
      <c r="O25" s="10"/>
      <c r="P25" s="22">
        <f>SUM(OSRRefP22x_0)</f>
        <v>0</v>
      </c>
      <c r="Q25" s="22"/>
      <c r="R25" s="32">
        <f t="shared" ref="R25:R34" si="16">IF(P$12=0,0,P25/P$12)</f>
        <v>0</v>
      </c>
      <c r="S25" s="22"/>
      <c r="T25" s="22">
        <f>SUM(OSRRefT22x_0)</f>
        <v>0</v>
      </c>
      <c r="U25" s="22"/>
      <c r="V25" s="32">
        <f t="shared" ref="V25:V34" si="17">IF(T$12=0,0,T25/T$12)</f>
        <v>0</v>
      </c>
      <c r="W25" s="4"/>
      <c r="X25" s="22">
        <f t="shared" ref="X25:X34" si="18">+P25-T25</f>
        <v>0</v>
      </c>
      <c r="Y25" s="4"/>
      <c r="Z25" s="32">
        <f t="shared" ref="Z25:Z34" si="19">IF(T25=0,0,X25/T25)</f>
        <v>0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3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3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61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293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277</v>
      </c>
      <c r="C49" s="28"/>
      <c r="D49" s="21">
        <f>+D23-D25+D47</f>
        <v>-11426.68</v>
      </c>
      <c r="E49" s="14"/>
      <c r="F49" s="20">
        <f>IF(D$12=0,0,D49/D$12)</f>
        <v>1.0246140216531656</v>
      </c>
      <c r="G49" s="14"/>
      <c r="H49" s="21">
        <f>+H23-H25+H47</f>
        <v>567</v>
      </c>
      <c r="I49" s="14"/>
      <c r="J49" s="20">
        <f>IF(H$12=0,0,H49/H$12)</f>
        <v>0.27510917030567683</v>
      </c>
      <c r="K49" s="16"/>
      <c r="L49" s="21">
        <f>+D49-H49</f>
        <v>-11993.68</v>
      </c>
      <c r="M49" s="16"/>
      <c r="N49" s="20">
        <f>IF(H49=0,0,L49/H49)</f>
        <v>-21.152874779541445</v>
      </c>
      <c r="O49" s="29"/>
      <c r="P49" s="21">
        <f>+P23-P25+P47</f>
        <v>221882.59000000008</v>
      </c>
      <c r="Q49" s="14"/>
      <c r="R49" s="20">
        <f>IF(P$12=0,0,P49/P$12)</f>
        <v>0.29001234524800762</v>
      </c>
      <c r="S49" s="14"/>
      <c r="T49" s="21">
        <f>+T23-T25+T47</f>
        <v>387114</v>
      </c>
      <c r="U49" s="14"/>
      <c r="V49" s="20">
        <f>IF(T$12=0,0,T49/T$12)</f>
        <v>0.27299345431773853</v>
      </c>
      <c r="W49" s="16"/>
      <c r="X49" s="21">
        <f>+P49-T49</f>
        <v>-165231.40999999992</v>
      </c>
      <c r="Y49" s="16"/>
      <c r="Z49" s="20">
        <f>IF(T49=0,0,X49/T49)</f>
        <v>-0.42682881528438632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128</v>
      </c>
      <c r="C51" s="10"/>
      <c r="D51" s="4">
        <v>82.98</v>
      </c>
      <c r="E51" s="4"/>
      <c r="F51" s="12">
        <f>IF(D$12=0,0,D51/D$12)</f>
        <v>-7.4406976931864445E-3</v>
      </c>
      <c r="G51" s="4"/>
      <c r="H51" s="4">
        <v>6472</v>
      </c>
      <c r="I51" s="4"/>
      <c r="J51" s="12">
        <f>IF(H$12=0,0,H51/H$12)</f>
        <v>3.1402231926249393</v>
      </c>
      <c r="K51" s="4"/>
      <c r="L51" s="4">
        <f>+D51-H51</f>
        <v>-6389.02</v>
      </c>
      <c r="M51" s="4"/>
      <c r="N51" s="12">
        <f>IF(H51=0,0,L51/H51)</f>
        <v>-0.9871786155747837</v>
      </c>
      <c r="O51" s="10"/>
      <c r="P51" s="4">
        <v>160057.79999999999</v>
      </c>
      <c r="Q51" s="4"/>
      <c r="R51" s="12">
        <f>IF(P$12=0,0,P51/P$12)</f>
        <v>0.20920405676369891</v>
      </c>
      <c r="S51" s="4"/>
      <c r="T51" s="4">
        <v>256873</v>
      </c>
      <c r="U51" s="4"/>
      <c r="V51" s="12">
        <f>IF(T$12=0,0,T51/T$12)</f>
        <v>0.18114727855608539</v>
      </c>
      <c r="W51" s="4"/>
      <c r="X51" s="4">
        <f>+P51-T51</f>
        <v>-96815.200000000012</v>
      </c>
      <c r="Y51" s="4"/>
      <c r="Z51" s="12">
        <f>IF(T51=0,0,X51/T51)</f>
        <v>-0.37689909021189466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126</v>
      </c>
      <c r="C53" s="28"/>
      <c r="D53" s="31">
        <f>+D49-D51</f>
        <v>-11509.66</v>
      </c>
      <c r="E53" s="14"/>
      <c r="F53" s="33">
        <f>IF(D$12=0,0,D53/D$12)</f>
        <v>1.0320547193463521</v>
      </c>
      <c r="G53" s="14"/>
      <c r="H53" s="31">
        <f>+H49-H51</f>
        <v>-5905</v>
      </c>
      <c r="I53" s="14"/>
      <c r="J53" s="33">
        <f>IF(H$12=0,0,H53/H$12)</f>
        <v>-2.8651140223192626</v>
      </c>
      <c r="K53" s="16"/>
      <c r="L53" s="31">
        <f>D53-H53</f>
        <v>-5604.66</v>
      </c>
      <c r="M53" s="16"/>
      <c r="N53" s="33">
        <f>IF(H53=0,0,L53/H53)</f>
        <v>0.94913801862828107</v>
      </c>
      <c r="O53" s="29"/>
      <c r="P53" s="31">
        <f>+P49-P51</f>
        <v>61824.790000000095</v>
      </c>
      <c r="Q53" s="14"/>
      <c r="R53" s="33">
        <f>IF(P$12=0,0,P53/P$12)</f>
        <v>8.080828848430871E-2</v>
      </c>
      <c r="S53" s="14"/>
      <c r="T53" s="31">
        <f>+T49-T51</f>
        <v>130241</v>
      </c>
      <c r="U53" s="14"/>
      <c r="V53" s="33">
        <f>IF(T$12=0,0,T53/T$12)</f>
        <v>9.1846175761653104E-2</v>
      </c>
      <c r="W53" s="16"/>
      <c r="X53" s="31">
        <f>P53-T53</f>
        <v>-68416.209999999905</v>
      </c>
      <c r="Y53" s="16"/>
      <c r="Z53" s="33">
        <f>IF(T53=0,0,X53/T53)</f>
        <v>-0.52530470435577048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294</v>
      </c>
      <c r="C56" s="28"/>
      <c r="D56" s="34">
        <f>SUM(D53:D55)</f>
        <v>-11509.66</v>
      </c>
      <c r="E56" s="14"/>
      <c r="F56" s="35">
        <f>IF(D$12=0,0,D56/D$12)</f>
        <v>1.0320547193463521</v>
      </c>
      <c r="G56" s="14"/>
      <c r="H56" s="34">
        <f>SUM(H53:H55)</f>
        <v>-5905</v>
      </c>
      <c r="I56" s="14"/>
      <c r="J56" s="35">
        <f>IF(H$12=0,0,H56/H$12)</f>
        <v>-2.8651140223192626</v>
      </c>
      <c r="K56" s="16"/>
      <c r="L56" s="34">
        <f>+D56-H56</f>
        <v>-5604.66</v>
      </c>
      <c r="M56" s="16"/>
      <c r="N56" s="35">
        <f>IF(H56=0,0,L56/H56)</f>
        <v>0.94913801862828107</v>
      </c>
      <c r="O56" s="29"/>
      <c r="P56" s="34">
        <f>SUM(P53:P55)</f>
        <v>61824.790000000095</v>
      </c>
      <c r="Q56" s="14"/>
      <c r="R56" s="35">
        <f>IF(P$12=0,0,P56/P$12)</f>
        <v>8.080828848430871E-2</v>
      </c>
      <c r="S56" s="14"/>
      <c r="T56" s="34">
        <f>SUM(T53:T55)</f>
        <v>130241</v>
      </c>
      <c r="U56" s="14"/>
      <c r="V56" s="35">
        <f>IF(T$12=0,0,T56/T$12)</f>
        <v>9.1846175761653104E-2</v>
      </c>
      <c r="W56" s="16"/>
      <c r="X56" s="34">
        <f>+P56-T56</f>
        <v>-68416.209999999905</v>
      </c>
      <c r="Y56" s="16"/>
      <c r="Z56" s="35">
        <f>IF(T56=0,0,X56/T56)</f>
        <v>-0.52530470435577048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62">
        <v>44330.0058283912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6" t="s">
        <v>56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5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22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409112.63</v>
      </c>
      <c r="E12" s="4"/>
      <c r="F12" s="12"/>
      <c r="G12" s="4"/>
      <c r="H12" s="4">
        <f>SUM(OSRRefH13x_0)</f>
        <v>389190</v>
      </c>
      <c r="I12" s="4"/>
      <c r="J12" s="12"/>
      <c r="K12" s="4"/>
      <c r="L12" s="4">
        <f t="shared" ref="L12:L50" si="0">+D12-H12</f>
        <v>19922.630000000005</v>
      </c>
      <c r="M12" s="4"/>
      <c r="N12" s="12">
        <f t="shared" ref="N12:N50" si="1">IF(H12=0,0,L12/H12)</f>
        <v>5.1189984326421557E-2</v>
      </c>
      <c r="O12" s="10"/>
      <c r="P12" s="4">
        <f>SUM(OSRRefP13x_0)</f>
        <v>1886993.4999999995</v>
      </c>
      <c r="Q12" s="4"/>
      <c r="R12" s="12"/>
      <c r="S12" s="4"/>
      <c r="T12" s="4">
        <f>SUM(OSRRefT13x_0)</f>
        <v>3300707</v>
      </c>
      <c r="U12" s="4"/>
      <c r="V12" s="12"/>
      <c r="W12" s="4"/>
      <c r="X12" s="4">
        <f t="shared" ref="X12:X50" si="2">+P12-T12</f>
        <v>-1413713.5000000005</v>
      </c>
      <c r="Y12" s="4"/>
      <c r="Z12" s="12">
        <f t="shared" ref="Z12:Z50" si="3">IF(T12=0,0,X12/T12)</f>
        <v>-0.42830626892965673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-12952.02</f>
        <v>-12952.02</v>
      </c>
      <c r="E13" s="2"/>
      <c r="F13" s="19"/>
      <c r="G13" s="2"/>
      <c r="H13" s="2">
        <v>389190</v>
      </c>
      <c r="I13" s="2"/>
      <c r="J13" s="19"/>
      <c r="K13" s="2"/>
      <c r="L13" s="2">
        <f t="shared" si="0"/>
        <v>-402142.02</v>
      </c>
      <c r="M13" s="2"/>
      <c r="N13" s="19">
        <f t="shared" si="1"/>
        <v>-1.0332794265011949</v>
      </c>
      <c r="O13" s="11"/>
      <c r="P13" s="2">
        <f>-123410.75</f>
        <v>-123410.75</v>
      </c>
      <c r="Q13" s="2"/>
      <c r="R13" s="19"/>
      <c r="S13" s="2"/>
      <c r="T13" s="2">
        <v>3300707</v>
      </c>
      <c r="U13" s="2"/>
      <c r="V13" s="19"/>
      <c r="W13" s="2"/>
      <c r="X13" s="2">
        <f t="shared" si="2"/>
        <v>-3424117.75</v>
      </c>
      <c r="Y13" s="2"/>
      <c r="Z13" s="19">
        <f t="shared" si="3"/>
        <v>-1.0373891866197151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--21.42</f>
        <v>21.42</v>
      </c>
      <c r="E14" s="2"/>
      <c r="F14" s="19"/>
      <c r="G14" s="2"/>
      <c r="H14" s="2"/>
      <c r="I14" s="2"/>
      <c r="J14" s="19"/>
      <c r="K14" s="2"/>
      <c r="L14" s="2">
        <f t="shared" si="0"/>
        <v>21.42</v>
      </c>
      <c r="M14" s="2"/>
      <c r="N14" s="19">
        <f t="shared" si="1"/>
        <v>0</v>
      </c>
      <c r="O14" s="11"/>
      <c r="P14" s="2">
        <f>--468.66</f>
        <v>468.66</v>
      </c>
      <c r="Q14" s="2"/>
      <c r="R14" s="19"/>
      <c r="S14" s="2"/>
      <c r="T14" s="2"/>
      <c r="U14" s="2"/>
      <c r="V14" s="19"/>
      <c r="W14" s="2"/>
      <c r="X14" s="2">
        <f t="shared" si="2"/>
        <v>468.66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--6558.65</f>
        <v>6558.65</v>
      </c>
      <c r="E15" s="2"/>
      <c r="F15" s="19"/>
      <c r="G15" s="2"/>
      <c r="H15" s="2"/>
      <c r="I15" s="2"/>
      <c r="J15" s="19"/>
      <c r="K15" s="2"/>
      <c r="L15" s="2">
        <f t="shared" si="0"/>
        <v>6558.65</v>
      </c>
      <c r="M15" s="2"/>
      <c r="N15" s="19">
        <f t="shared" si="1"/>
        <v>0</v>
      </c>
      <c r="O15" s="11"/>
      <c r="P15" s="2">
        <f>--56080.65</f>
        <v>56080.65</v>
      </c>
      <c r="Q15" s="2"/>
      <c r="R15" s="19"/>
      <c r="S15" s="2"/>
      <c r="T15" s="2"/>
      <c r="U15" s="2"/>
      <c r="V15" s="19"/>
      <c r="W15" s="2"/>
      <c r="X15" s="2">
        <f t="shared" si="2"/>
        <v>56080.65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--2650.79</f>
        <v>2650.79</v>
      </c>
      <c r="E16" s="2"/>
      <c r="F16" s="19"/>
      <c r="G16" s="2"/>
      <c r="H16" s="2"/>
      <c r="I16" s="2"/>
      <c r="J16" s="19"/>
      <c r="K16" s="2"/>
      <c r="L16" s="2">
        <f t="shared" si="0"/>
        <v>2650.79</v>
      </c>
      <c r="M16" s="2"/>
      <c r="N16" s="19">
        <f t="shared" si="1"/>
        <v>0</v>
      </c>
      <c r="O16" s="11"/>
      <c r="P16" s="2">
        <f>--34421.12</f>
        <v>34421.120000000003</v>
      </c>
      <c r="Q16" s="2"/>
      <c r="R16" s="19"/>
      <c r="S16" s="2"/>
      <c r="T16" s="2"/>
      <c r="U16" s="2"/>
      <c r="V16" s="19"/>
      <c r="W16" s="2"/>
      <c r="X16" s="2">
        <f t="shared" si="2"/>
        <v>34421.120000000003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--595.72</f>
        <v>595.72</v>
      </c>
      <c r="E17" s="2"/>
      <c r="F17" s="19"/>
      <c r="G17" s="2"/>
      <c r="H17" s="2"/>
      <c r="I17" s="2"/>
      <c r="J17" s="19"/>
      <c r="K17" s="2"/>
      <c r="L17" s="2">
        <f t="shared" si="0"/>
        <v>595.72</v>
      </c>
      <c r="M17" s="2"/>
      <c r="N17" s="19">
        <f t="shared" si="1"/>
        <v>0</v>
      </c>
      <c r="O17" s="11"/>
      <c r="P17" s="2">
        <f>--3836.04</f>
        <v>3836.04</v>
      </c>
      <c r="Q17" s="2"/>
      <c r="R17" s="19"/>
      <c r="S17" s="2"/>
      <c r="T17" s="2"/>
      <c r="U17" s="2"/>
      <c r="V17" s="19"/>
      <c r="W17" s="2"/>
      <c r="X17" s="2">
        <f t="shared" si="2"/>
        <v>3836.04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--159179.58</f>
        <v>159179.57999999999</v>
      </c>
      <c r="E19" s="2"/>
      <c r="F19" s="19"/>
      <c r="G19" s="2"/>
      <c r="H19" s="2"/>
      <c r="I19" s="2"/>
      <c r="J19" s="19"/>
      <c r="K19" s="2"/>
      <c r="L19" s="2">
        <f t="shared" si="0"/>
        <v>159179.57999999999</v>
      </c>
      <c r="M19" s="2"/>
      <c r="N19" s="19">
        <f t="shared" si="1"/>
        <v>0</v>
      </c>
      <c r="O19" s="11"/>
      <c r="P19" s="2">
        <f>--913180.73</f>
        <v>913180.73</v>
      </c>
      <c r="Q19" s="2"/>
      <c r="R19" s="19"/>
      <c r="S19" s="2"/>
      <c r="T19" s="2"/>
      <c r="U19" s="2"/>
      <c r="V19" s="19"/>
      <c r="W19" s="2"/>
      <c r="X19" s="2">
        <f t="shared" si="2"/>
        <v>913180.73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--116178</f>
        <v>116178</v>
      </c>
      <c r="E20" s="2"/>
      <c r="F20" s="19"/>
      <c r="G20" s="2"/>
      <c r="H20" s="2"/>
      <c r="I20" s="2"/>
      <c r="J20" s="19"/>
      <c r="K20" s="2"/>
      <c r="L20" s="2">
        <f t="shared" si="0"/>
        <v>116178</v>
      </c>
      <c r="M20" s="2"/>
      <c r="N20" s="19">
        <f t="shared" si="1"/>
        <v>0</v>
      </c>
      <c r="O20" s="11"/>
      <c r="P20" s="2">
        <f>--347536.81</f>
        <v>347536.81</v>
      </c>
      <c r="Q20" s="2"/>
      <c r="R20" s="19"/>
      <c r="S20" s="2"/>
      <c r="T20" s="2"/>
      <c r="U20" s="2"/>
      <c r="V20" s="19"/>
      <c r="W20" s="2"/>
      <c r="X20" s="2">
        <f t="shared" si="2"/>
        <v>347536.81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--9350.43</f>
        <v>9350.43</v>
      </c>
      <c r="E21" s="2"/>
      <c r="F21" s="19"/>
      <c r="G21" s="2"/>
      <c r="H21" s="2"/>
      <c r="I21" s="2"/>
      <c r="J21" s="19"/>
      <c r="K21" s="2"/>
      <c r="L21" s="2">
        <f t="shared" si="0"/>
        <v>9350.43</v>
      </c>
      <c r="M21" s="2"/>
      <c r="N21" s="19">
        <f t="shared" si="1"/>
        <v>0</v>
      </c>
      <c r="O21" s="11"/>
      <c r="P21" s="2">
        <f>--83578.68</f>
        <v>83578.679999999993</v>
      </c>
      <c r="Q21" s="2"/>
      <c r="R21" s="19"/>
      <c r="S21" s="2"/>
      <c r="T21" s="2"/>
      <c r="U21" s="2"/>
      <c r="V21" s="19"/>
      <c r="W21" s="2"/>
      <c r="X21" s="2">
        <f t="shared" si="2"/>
        <v>83578.679999999993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--4423.21</f>
        <v>4423.21</v>
      </c>
      <c r="E22" s="2"/>
      <c r="F22" s="19"/>
      <c r="G22" s="2"/>
      <c r="H22" s="2"/>
      <c r="I22" s="2"/>
      <c r="J22" s="19"/>
      <c r="K22" s="2"/>
      <c r="L22" s="2">
        <f t="shared" si="0"/>
        <v>4423.21</v>
      </c>
      <c r="M22" s="2"/>
      <c r="N22" s="19">
        <f t="shared" si="1"/>
        <v>0</v>
      </c>
      <c r="O22" s="11"/>
      <c r="P22" s="2">
        <f>--136806.7</f>
        <v>136806.70000000001</v>
      </c>
      <c r="Q22" s="2"/>
      <c r="R22" s="19"/>
      <c r="S22" s="2"/>
      <c r="T22" s="2"/>
      <c r="U22" s="2"/>
      <c r="V22" s="19"/>
      <c r="W22" s="2"/>
      <c r="X22" s="2">
        <f t="shared" si="2"/>
        <v>136806.70000000001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--4745.38</f>
        <v>4745.38</v>
      </c>
      <c r="E23" s="2"/>
      <c r="F23" s="19"/>
      <c r="G23" s="2"/>
      <c r="H23" s="2"/>
      <c r="I23" s="2"/>
      <c r="J23" s="19"/>
      <c r="K23" s="2"/>
      <c r="L23" s="2">
        <f t="shared" si="0"/>
        <v>4745.38</v>
      </c>
      <c r="M23" s="2"/>
      <c r="N23" s="19">
        <f t="shared" si="1"/>
        <v>0</v>
      </c>
      <c r="O23" s="11"/>
      <c r="P23" s="2">
        <f>--36092.23</f>
        <v>36092.230000000003</v>
      </c>
      <c r="Q23" s="2"/>
      <c r="R23" s="19"/>
      <c r="S23" s="2"/>
      <c r="T23" s="2"/>
      <c r="U23" s="2"/>
      <c r="V23" s="19"/>
      <c r="W23" s="2"/>
      <c r="X23" s="2">
        <f t="shared" si="2"/>
        <v>36092.230000000003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--63044.9</f>
        <v>63044.9</v>
      </c>
      <c r="E24" s="2"/>
      <c r="F24" s="19"/>
      <c r="G24" s="2"/>
      <c r="H24" s="2"/>
      <c r="I24" s="2"/>
      <c r="J24" s="19"/>
      <c r="K24" s="2"/>
      <c r="L24" s="2">
        <f t="shared" si="0"/>
        <v>63044.9</v>
      </c>
      <c r="M24" s="2"/>
      <c r="N24" s="19">
        <f t="shared" si="1"/>
        <v>0</v>
      </c>
      <c r="O24" s="11"/>
      <c r="P24" s="2">
        <f>--207242.34</f>
        <v>207242.34</v>
      </c>
      <c r="Q24" s="2"/>
      <c r="R24" s="19"/>
      <c r="S24" s="2"/>
      <c r="T24" s="2"/>
      <c r="U24" s="2"/>
      <c r="V24" s="19"/>
      <c r="W24" s="2"/>
      <c r="X24" s="2">
        <f t="shared" si="2"/>
        <v>207242.34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--493.37</f>
        <v>493.37</v>
      </c>
      <c r="E26" s="2"/>
      <c r="F26" s="19"/>
      <c r="G26" s="2"/>
      <c r="H26" s="2"/>
      <c r="I26" s="2"/>
      <c r="J26" s="19"/>
      <c r="K26" s="2"/>
      <c r="L26" s="2">
        <f t="shared" si="0"/>
        <v>493.37</v>
      </c>
      <c r="M26" s="2"/>
      <c r="N26" s="19">
        <f t="shared" si="1"/>
        <v>0</v>
      </c>
      <c r="O26" s="11"/>
      <c r="P26" s="2">
        <f>--7100.68</f>
        <v>7100.68</v>
      </c>
      <c r="Q26" s="2"/>
      <c r="R26" s="19"/>
      <c r="S26" s="2"/>
      <c r="T26" s="2"/>
      <c r="U26" s="2"/>
      <c r="V26" s="19"/>
      <c r="W26" s="2"/>
      <c r="X26" s="2">
        <f t="shared" si="2"/>
        <v>7100.68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--31.37</f>
        <v>31.37</v>
      </c>
      <c r="E27" s="2"/>
      <c r="F27" s="19"/>
      <c r="G27" s="2"/>
      <c r="H27" s="2"/>
      <c r="I27" s="2"/>
      <c r="J27" s="19"/>
      <c r="K27" s="2"/>
      <c r="L27" s="2">
        <f t="shared" si="0"/>
        <v>31.37</v>
      </c>
      <c r="M27" s="2"/>
      <c r="N27" s="19">
        <f t="shared" si="1"/>
        <v>0</v>
      </c>
      <c r="O27" s="11"/>
      <c r="P27" s="2">
        <f>--69.95</f>
        <v>69.95</v>
      </c>
      <c r="Q27" s="2"/>
      <c r="R27" s="19"/>
      <c r="S27" s="2"/>
      <c r="T27" s="2"/>
      <c r="U27" s="2"/>
      <c r="V27" s="19"/>
      <c r="W27" s="2"/>
      <c r="X27" s="2">
        <f t="shared" si="2"/>
        <v>69.95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--975.93</f>
        <v>975.93</v>
      </c>
      <c r="E28" s="2"/>
      <c r="F28" s="19"/>
      <c r="G28" s="2"/>
      <c r="H28" s="2"/>
      <c r="I28" s="2"/>
      <c r="J28" s="19"/>
      <c r="K28" s="2"/>
      <c r="L28" s="2">
        <f t="shared" si="0"/>
        <v>975.93</v>
      </c>
      <c r="M28" s="2"/>
      <c r="N28" s="19">
        <f t="shared" si="1"/>
        <v>0</v>
      </c>
      <c r="O28" s="11"/>
      <c r="P28" s="2">
        <f>--9533.2</f>
        <v>9533.2000000000007</v>
      </c>
      <c r="Q28" s="2"/>
      <c r="R28" s="19"/>
      <c r="S28" s="2"/>
      <c r="T28" s="2"/>
      <c r="U28" s="2"/>
      <c r="V28" s="19"/>
      <c r="W28" s="2"/>
      <c r="X28" s="2">
        <f t="shared" si="2"/>
        <v>9533.2000000000007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--68.25</f>
        <v>68.25</v>
      </c>
      <c r="Q32" s="2"/>
      <c r="R32" s="19"/>
      <c r="S32" s="2"/>
      <c r="T32" s="2"/>
      <c r="U32" s="2"/>
      <c r="V32" s="19"/>
      <c r="W32" s="2"/>
      <c r="X32" s="2">
        <f t="shared" si="2"/>
        <v>68.25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--23040.7</f>
        <v>23040.7</v>
      </c>
      <c r="E33" s="2"/>
      <c r="F33" s="19"/>
      <c r="G33" s="2"/>
      <c r="H33" s="2"/>
      <c r="I33" s="2"/>
      <c r="J33" s="19"/>
      <c r="K33" s="2"/>
      <c r="L33" s="2">
        <f t="shared" si="0"/>
        <v>23040.7</v>
      </c>
      <c r="M33" s="2"/>
      <c r="N33" s="19">
        <f t="shared" si="1"/>
        <v>0</v>
      </c>
      <c r="O33" s="11"/>
      <c r="P33" s="2">
        <f>--154792.39</f>
        <v>154792.39000000001</v>
      </c>
      <c r="Q33" s="2"/>
      <c r="R33" s="19"/>
      <c r="S33" s="2"/>
      <c r="T33" s="2"/>
      <c r="U33" s="2"/>
      <c r="V33" s="19"/>
      <c r="W33" s="2"/>
      <c r="X33" s="2">
        <f t="shared" si="2"/>
        <v>154792.39000000001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--27227.97</f>
        <v>27227.97</v>
      </c>
      <c r="E34" s="2"/>
      <c r="F34" s="19"/>
      <c r="G34" s="2"/>
      <c r="H34" s="2"/>
      <c r="I34" s="2"/>
      <c r="J34" s="19"/>
      <c r="K34" s="2"/>
      <c r="L34" s="2">
        <f t="shared" si="0"/>
        <v>27227.97</v>
      </c>
      <c r="M34" s="2"/>
      <c r="N34" s="19">
        <f t="shared" si="1"/>
        <v>0</v>
      </c>
      <c r="O34" s="11"/>
      <c r="P34" s="2">
        <f>--35517.57</f>
        <v>35517.57</v>
      </c>
      <c r="Q34" s="2"/>
      <c r="R34" s="19"/>
      <c r="S34" s="2"/>
      <c r="T34" s="2"/>
      <c r="U34" s="2"/>
      <c r="V34" s="19"/>
      <c r="W34" s="2"/>
      <c r="X34" s="2">
        <f t="shared" si="2"/>
        <v>35517.57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--284.63</f>
        <v>284.63</v>
      </c>
      <c r="E35" s="2"/>
      <c r="F35" s="19"/>
      <c r="G35" s="2"/>
      <c r="H35" s="2"/>
      <c r="I35" s="2"/>
      <c r="J35" s="19"/>
      <c r="K35" s="2"/>
      <c r="L35" s="2">
        <f t="shared" si="0"/>
        <v>284.63</v>
      </c>
      <c r="M35" s="2"/>
      <c r="N35" s="19">
        <f t="shared" si="1"/>
        <v>0</v>
      </c>
      <c r="O35" s="11"/>
      <c r="P35" s="2">
        <f>--1455.41</f>
        <v>1455.41</v>
      </c>
      <c r="Q35" s="2"/>
      <c r="R35" s="19"/>
      <c r="S35" s="2"/>
      <c r="T35" s="2"/>
      <c r="U35" s="2"/>
      <c r="V35" s="19"/>
      <c r="W35" s="2"/>
      <c r="X35" s="2">
        <f t="shared" si="2"/>
        <v>1455.41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--49.97</f>
        <v>49.97</v>
      </c>
      <c r="E36" s="2"/>
      <c r="F36" s="19"/>
      <c r="G36" s="2"/>
      <c r="H36" s="2"/>
      <c r="I36" s="2"/>
      <c r="J36" s="19"/>
      <c r="K36" s="2"/>
      <c r="L36" s="2">
        <f t="shared" si="0"/>
        <v>49.97</v>
      </c>
      <c r="M36" s="2"/>
      <c r="N36" s="19">
        <f t="shared" si="1"/>
        <v>0</v>
      </c>
      <c r="O36" s="11"/>
      <c r="P36" s="2">
        <f>--2431.45</f>
        <v>2431.4499999999998</v>
      </c>
      <c r="Q36" s="2"/>
      <c r="R36" s="19"/>
      <c r="S36" s="2"/>
      <c r="T36" s="2"/>
      <c r="U36" s="2"/>
      <c r="V36" s="19"/>
      <c r="W36" s="2"/>
      <c r="X36" s="2">
        <f t="shared" si="2"/>
        <v>2431.4499999999998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--29.85</f>
        <v>29.85</v>
      </c>
      <c r="E37" s="2"/>
      <c r="F37" s="19"/>
      <c r="G37" s="2"/>
      <c r="H37" s="2"/>
      <c r="I37" s="2"/>
      <c r="J37" s="19"/>
      <c r="K37" s="2"/>
      <c r="L37" s="2">
        <f t="shared" si="0"/>
        <v>29.85</v>
      </c>
      <c r="M37" s="2"/>
      <c r="N37" s="19">
        <f t="shared" si="1"/>
        <v>0</v>
      </c>
      <c r="O37" s="11"/>
      <c r="P37" s="2">
        <f>--709.1</f>
        <v>709.1</v>
      </c>
      <c r="Q37" s="2"/>
      <c r="R37" s="19"/>
      <c r="S37" s="2"/>
      <c r="T37" s="2"/>
      <c r="U37" s="2"/>
      <c r="V37" s="19"/>
      <c r="W37" s="2"/>
      <c r="X37" s="2">
        <f t="shared" si="2"/>
        <v>709.1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--20350.8</f>
        <v>20350.8</v>
      </c>
      <c r="E38" s="2"/>
      <c r="F38" s="19"/>
      <c r="G38" s="2"/>
      <c r="H38" s="2"/>
      <c r="I38" s="2"/>
      <c r="J38" s="19"/>
      <c r="K38" s="2"/>
      <c r="L38" s="2">
        <f t="shared" si="0"/>
        <v>20350.8</v>
      </c>
      <c r="M38" s="2"/>
      <c r="N38" s="19">
        <f t="shared" si="1"/>
        <v>0</v>
      </c>
      <c r="O38" s="11"/>
      <c r="P38" s="2">
        <f>--74066.89</f>
        <v>74066.89</v>
      </c>
      <c r="Q38" s="2"/>
      <c r="R38" s="19"/>
      <c r="S38" s="2"/>
      <c r="T38" s="2"/>
      <c r="U38" s="2"/>
      <c r="V38" s="19"/>
      <c r="W38" s="2"/>
      <c r="X38" s="2">
        <f t="shared" si="2"/>
        <v>74066.89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-34.23</f>
        <v>-34.229999999999997</v>
      </c>
      <c r="Q39" s="2"/>
      <c r="R39" s="19"/>
      <c r="S39" s="2"/>
      <c r="T39" s="2"/>
      <c r="U39" s="2"/>
      <c r="V39" s="19"/>
      <c r="W39" s="2"/>
      <c r="X39" s="2">
        <f t="shared" si="2"/>
        <v>-34.229999999999997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-500.54</f>
        <v>-500.54</v>
      </c>
      <c r="E40" s="2"/>
      <c r="F40" s="19"/>
      <c r="G40" s="2"/>
      <c r="H40" s="2"/>
      <c r="I40" s="2"/>
      <c r="J40" s="19"/>
      <c r="K40" s="2"/>
      <c r="L40" s="2">
        <f t="shared" si="0"/>
        <v>-500.54</v>
      </c>
      <c r="M40" s="2"/>
      <c r="N40" s="19">
        <f t="shared" si="1"/>
        <v>0</v>
      </c>
      <c r="O40" s="11"/>
      <c r="P40" s="2">
        <f>-1186.69</f>
        <v>-1186.69</v>
      </c>
      <c r="Q40" s="2"/>
      <c r="R40" s="19"/>
      <c r="S40" s="2"/>
      <c r="T40" s="2"/>
      <c r="U40" s="2"/>
      <c r="V40" s="19"/>
      <c r="W40" s="2"/>
      <c r="X40" s="2">
        <f t="shared" si="2"/>
        <v>-1186.69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-136.11</f>
        <v>-136.11000000000001</v>
      </c>
      <c r="E41" s="2"/>
      <c r="F41" s="19"/>
      <c r="G41" s="2"/>
      <c r="H41" s="2"/>
      <c r="I41" s="2"/>
      <c r="J41" s="19"/>
      <c r="K41" s="2"/>
      <c r="L41" s="2">
        <f t="shared" si="0"/>
        <v>-136.11000000000001</v>
      </c>
      <c r="M41" s="2"/>
      <c r="N41" s="19">
        <f t="shared" si="1"/>
        <v>0</v>
      </c>
      <c r="O41" s="11"/>
      <c r="P41" s="2">
        <f>-12751.53</f>
        <v>-12751.53</v>
      </c>
      <c r="Q41" s="2"/>
      <c r="R41" s="19"/>
      <c r="S41" s="2"/>
      <c r="T41" s="2"/>
      <c r="U41" s="2"/>
      <c r="V41" s="19"/>
      <c r="W41" s="2"/>
      <c r="X41" s="2">
        <f t="shared" si="2"/>
        <v>-12751.53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-5611.92</f>
        <v>-5611.92</v>
      </c>
      <c r="E42" s="2"/>
      <c r="F42" s="19"/>
      <c r="G42" s="2"/>
      <c r="H42" s="2"/>
      <c r="I42" s="2"/>
      <c r="J42" s="19"/>
      <c r="K42" s="2"/>
      <c r="L42" s="2">
        <f t="shared" si="0"/>
        <v>-5611.92</v>
      </c>
      <c r="M42" s="2"/>
      <c r="N42" s="19">
        <f t="shared" si="1"/>
        <v>0</v>
      </c>
      <c r="O42" s="11"/>
      <c r="P42" s="2">
        <f>-40666.27</f>
        <v>-40666.269999999997</v>
      </c>
      <c r="Q42" s="2"/>
      <c r="R42" s="19"/>
      <c r="S42" s="2"/>
      <c r="T42" s="2"/>
      <c r="U42" s="2"/>
      <c r="V42" s="19"/>
      <c r="W42" s="2"/>
      <c r="X42" s="2">
        <f t="shared" si="2"/>
        <v>-40666.269999999997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-5633.91</f>
        <v>-5633.91</v>
      </c>
      <c r="E43" s="2"/>
      <c r="F43" s="19"/>
      <c r="G43" s="2"/>
      <c r="H43" s="2"/>
      <c r="I43" s="2"/>
      <c r="J43" s="19"/>
      <c r="K43" s="2"/>
      <c r="L43" s="2">
        <f t="shared" si="0"/>
        <v>-5633.91</v>
      </c>
      <c r="M43" s="2"/>
      <c r="N43" s="19">
        <f t="shared" si="1"/>
        <v>0</v>
      </c>
      <c r="O43" s="11"/>
      <c r="P43" s="2">
        <f>-10890.2</f>
        <v>-10890.2</v>
      </c>
      <c r="Q43" s="2"/>
      <c r="R43" s="19"/>
      <c r="S43" s="2"/>
      <c r="T43" s="2"/>
      <c r="U43" s="2"/>
      <c r="V43" s="19"/>
      <c r="W43" s="2"/>
      <c r="X43" s="2">
        <f t="shared" si="2"/>
        <v>-10890.2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-332.27</f>
        <v>-332.27</v>
      </c>
      <c r="E44" s="2"/>
      <c r="F44" s="19"/>
      <c r="G44" s="2"/>
      <c r="H44" s="2"/>
      <c r="I44" s="2"/>
      <c r="J44" s="19"/>
      <c r="K44" s="2"/>
      <c r="L44" s="2">
        <f t="shared" si="0"/>
        <v>-332.27</v>
      </c>
      <c r="M44" s="2"/>
      <c r="N44" s="19">
        <f t="shared" si="1"/>
        <v>0</v>
      </c>
      <c r="O44" s="11"/>
      <c r="P44" s="2">
        <f>-2636.09</f>
        <v>-2636.09</v>
      </c>
      <c r="Q44" s="2"/>
      <c r="R44" s="19"/>
      <c r="S44" s="2"/>
      <c r="T44" s="2"/>
      <c r="U44" s="2"/>
      <c r="V44" s="19"/>
      <c r="W44" s="2"/>
      <c r="X44" s="2">
        <f t="shared" si="2"/>
        <v>-2636.09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-199.86</f>
        <v>-199.86</v>
      </c>
      <c r="E45" s="2"/>
      <c r="F45" s="19"/>
      <c r="G45" s="2"/>
      <c r="H45" s="2"/>
      <c r="I45" s="2"/>
      <c r="J45" s="19"/>
      <c r="K45" s="2"/>
      <c r="L45" s="2">
        <f t="shared" si="0"/>
        <v>-199.86</v>
      </c>
      <c r="M45" s="2"/>
      <c r="N45" s="19">
        <f t="shared" si="1"/>
        <v>0</v>
      </c>
      <c r="O45" s="11"/>
      <c r="P45" s="2">
        <f>-6142.09</f>
        <v>-6142.09</v>
      </c>
      <c r="Q45" s="2"/>
      <c r="R45" s="19"/>
      <c r="S45" s="2"/>
      <c r="T45" s="2"/>
      <c r="U45" s="2"/>
      <c r="V45" s="19"/>
      <c r="W45" s="2"/>
      <c r="X45" s="2">
        <f t="shared" si="2"/>
        <v>-6142.09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-8.24</f>
        <v>-8.24</v>
      </c>
      <c r="E46" s="2"/>
      <c r="F46" s="19"/>
      <c r="G46" s="2"/>
      <c r="H46" s="2"/>
      <c r="I46" s="2"/>
      <c r="J46" s="19"/>
      <c r="K46" s="2"/>
      <c r="L46" s="2">
        <f t="shared" si="0"/>
        <v>-8.24</v>
      </c>
      <c r="M46" s="2"/>
      <c r="N46" s="19">
        <f t="shared" si="1"/>
        <v>0</v>
      </c>
      <c r="O46" s="11"/>
      <c r="P46" s="2">
        <f>-1243.5</f>
        <v>-1243.5</v>
      </c>
      <c r="Q46" s="2"/>
      <c r="R46" s="19"/>
      <c r="S46" s="2"/>
      <c r="T46" s="2"/>
      <c r="U46" s="2"/>
      <c r="V46" s="19"/>
      <c r="W46" s="2"/>
      <c r="X46" s="2">
        <f t="shared" si="2"/>
        <v>-1243.5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-4071.14</f>
        <v>-4071.14</v>
      </c>
      <c r="E47" s="2"/>
      <c r="F47" s="19"/>
      <c r="G47" s="2"/>
      <c r="H47" s="2"/>
      <c r="I47" s="2"/>
      <c r="J47" s="19"/>
      <c r="K47" s="2"/>
      <c r="L47" s="2">
        <f t="shared" si="0"/>
        <v>-4071.14</v>
      </c>
      <c r="M47" s="2"/>
      <c r="N47" s="19">
        <f t="shared" si="1"/>
        <v>0</v>
      </c>
      <c r="O47" s="11"/>
      <c r="P47" s="2">
        <f>-15424.73</f>
        <v>-15424.73</v>
      </c>
      <c r="Q47" s="2"/>
      <c r="R47" s="19"/>
      <c r="S47" s="2"/>
      <c r="T47" s="2"/>
      <c r="U47" s="2"/>
      <c r="V47" s="19"/>
      <c r="W47" s="2"/>
      <c r="X47" s="2">
        <f t="shared" si="2"/>
        <v>-15424.73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-664.13</f>
        <v>-664.13</v>
      </c>
      <c r="E48" s="2"/>
      <c r="F48" s="19"/>
      <c r="G48" s="2"/>
      <c r="H48" s="2"/>
      <c r="I48" s="2"/>
      <c r="J48" s="19"/>
      <c r="K48" s="2"/>
      <c r="L48" s="2">
        <f t="shared" si="0"/>
        <v>-664.13</v>
      </c>
      <c r="M48" s="2"/>
      <c r="N48" s="19">
        <f t="shared" si="1"/>
        <v>0</v>
      </c>
      <c r="O48" s="11"/>
      <c r="P48" s="2">
        <f>-3307.52</f>
        <v>-3307.52</v>
      </c>
      <c r="Q48" s="2"/>
      <c r="R48" s="19"/>
      <c r="S48" s="2"/>
      <c r="T48" s="2"/>
      <c r="U48" s="2"/>
      <c r="V48" s="19"/>
      <c r="W48" s="2"/>
      <c r="X48" s="2">
        <f t="shared" si="2"/>
        <v>-3307.52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-9.9</f>
        <v>-9.9</v>
      </c>
      <c r="E49" s="2"/>
      <c r="F49" s="19"/>
      <c r="G49" s="2"/>
      <c r="H49" s="2"/>
      <c r="I49" s="2"/>
      <c r="J49" s="19"/>
      <c r="K49" s="2"/>
      <c r="L49" s="2">
        <f t="shared" si="0"/>
        <v>-9.9</v>
      </c>
      <c r="M49" s="2"/>
      <c r="N49" s="19">
        <f t="shared" si="1"/>
        <v>0</v>
      </c>
      <c r="O49" s="11"/>
      <c r="P49" s="2">
        <f>-391.24</f>
        <v>-391.24</v>
      </c>
      <c r="Q49" s="2"/>
      <c r="R49" s="19"/>
      <c r="S49" s="2"/>
      <c r="T49" s="2"/>
      <c r="U49" s="2"/>
      <c r="V49" s="19"/>
      <c r="W49" s="2"/>
      <c r="X49" s="2">
        <f t="shared" si="2"/>
        <v>-391.24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/>
      <c r="U50" s="2"/>
      <c r="V50" s="19"/>
      <c r="W50" s="2"/>
      <c r="X50" s="2">
        <f t="shared" si="2"/>
        <v>-118.7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257</v>
      </c>
      <c r="C52" s="10"/>
      <c r="D52" s="4">
        <f>SUM(OSRRefD16x_0)</f>
        <v>191894</v>
      </c>
      <c r="E52" s="4"/>
      <c r="F52" s="12">
        <f t="shared" ref="F52:F76" si="5">IF(D$12=0,0,D52/D$12)</f>
        <v>0.46904931778811132</v>
      </c>
      <c r="G52" s="4"/>
      <c r="H52" s="4">
        <f>SUM(OSRRefH16x_0)</f>
        <v>178380</v>
      </c>
      <c r="I52" s="4"/>
      <c r="J52" s="12">
        <f t="shared" ref="J52:J76" si="6">IF(H$12=0,0,H52/H$12)</f>
        <v>0.45833654513219763</v>
      </c>
      <c r="K52" s="4"/>
      <c r="L52" s="4">
        <f t="shared" ref="L52:L76" si="7">+D52-H52</f>
        <v>13514</v>
      </c>
      <c r="M52" s="4"/>
      <c r="N52" s="12">
        <f t="shared" ref="N52:N76" si="8">IF(H52=0,0,L52/H52)</f>
        <v>7.5759614306536605E-2</v>
      </c>
      <c r="O52" s="10"/>
      <c r="P52" s="4">
        <f>SUM(OSRRefP16x_0)</f>
        <v>1025845.54</v>
      </c>
      <c r="Q52" s="4"/>
      <c r="R52" s="12">
        <f t="shared" ref="R52:R76" si="9">IF(P$12=0,0,P52/P$12)</f>
        <v>0.5436402086175709</v>
      </c>
      <c r="S52" s="4"/>
      <c r="T52" s="4">
        <f>SUM(OSRRefT16x_0)</f>
        <v>1511222</v>
      </c>
      <c r="U52" s="4"/>
      <c r="V52" s="12">
        <f t="shared" ref="V52:V76" si="10">IF(T$12=0,0,T52/T$12)</f>
        <v>0.45784797014700185</v>
      </c>
      <c r="W52" s="4"/>
      <c r="X52" s="4">
        <f t="shared" ref="X52:X76" si="11">+P52-T52</f>
        <v>-485376.45999999996</v>
      </c>
      <c r="Y52" s="4"/>
      <c r="Z52" s="12">
        <f t="shared" ref="Z52:Z76" si="12">IF(T52=0,0,X52/T52)</f>
        <v>-0.32118144124423809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5"/>
        <v>0</v>
      </c>
      <c r="G53" s="2"/>
      <c r="H53" s="2">
        <v>178380</v>
      </c>
      <c r="I53" s="2"/>
      <c r="J53" s="19">
        <f t="shared" si="6"/>
        <v>0.45833654513219763</v>
      </c>
      <c r="K53" s="2"/>
      <c r="L53" s="2">
        <f t="shared" si="7"/>
        <v>-178380</v>
      </c>
      <c r="M53" s="2"/>
      <c r="N53" s="19">
        <f t="shared" si="8"/>
        <v>-1</v>
      </c>
      <c r="O53" s="11"/>
      <c r="P53" s="2"/>
      <c r="Q53" s="2"/>
      <c r="R53" s="19">
        <f t="shared" si="9"/>
        <v>0</v>
      </c>
      <c r="S53" s="2"/>
      <c r="T53" s="2">
        <v>1511222</v>
      </c>
      <c r="U53" s="2"/>
      <c r="V53" s="19">
        <f t="shared" si="10"/>
        <v>0.45784797014700185</v>
      </c>
      <c r="W53" s="2"/>
      <c r="X53" s="2">
        <f t="shared" si="11"/>
        <v>-1511222</v>
      </c>
      <c r="Y53" s="2"/>
      <c r="Z53" s="19">
        <f t="shared" si="12"/>
        <v>-1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599.29</v>
      </c>
      <c r="Q54" s="2"/>
      <c r="R54" s="19">
        <f t="shared" si="9"/>
        <v>3.1758985921255165E-4</v>
      </c>
      <c r="S54" s="2"/>
      <c r="T54" s="2"/>
      <c r="U54" s="2"/>
      <c r="V54" s="19">
        <f t="shared" si="10"/>
        <v>0</v>
      </c>
      <c r="W54" s="2"/>
      <c r="X54" s="2">
        <f t="shared" si="11"/>
        <v>599.29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219.64</v>
      </c>
      <c r="Q55" s="2"/>
      <c r="R55" s="19">
        <f t="shared" si="9"/>
        <v>1.1639679733925953E-4</v>
      </c>
      <c r="S55" s="2"/>
      <c r="T55" s="2"/>
      <c r="U55" s="2"/>
      <c r="V55" s="19">
        <f t="shared" si="10"/>
        <v>0</v>
      </c>
      <c r="W55" s="2"/>
      <c r="X55" s="2">
        <f t="shared" si="11"/>
        <v>219.64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1838.72</v>
      </c>
      <c r="E56" s="2"/>
      <c r="F56" s="19">
        <f t="shared" si="5"/>
        <v>4.4944102556794688E-3</v>
      </c>
      <c r="G56" s="2"/>
      <c r="H56" s="2"/>
      <c r="I56" s="2"/>
      <c r="J56" s="19">
        <f t="shared" si="6"/>
        <v>0</v>
      </c>
      <c r="K56" s="2"/>
      <c r="L56" s="2">
        <f t="shared" si="7"/>
        <v>1838.72</v>
      </c>
      <c r="M56" s="2"/>
      <c r="N56" s="19">
        <f t="shared" si="8"/>
        <v>0</v>
      </c>
      <c r="O56" s="11"/>
      <c r="P56" s="2">
        <v>22839.13</v>
      </c>
      <c r="Q56" s="2"/>
      <c r="R56" s="19">
        <f t="shared" si="9"/>
        <v>1.210344921696869E-2</v>
      </c>
      <c r="S56" s="2"/>
      <c r="T56" s="2"/>
      <c r="U56" s="2"/>
      <c r="V56" s="19">
        <f t="shared" si="10"/>
        <v>0</v>
      </c>
      <c r="W56" s="2"/>
      <c r="X56" s="2">
        <f t="shared" si="11"/>
        <v>22839.13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1371.26</v>
      </c>
      <c r="E57" s="2"/>
      <c r="F57" s="19">
        <f t="shared" si="5"/>
        <v>3.3517909236876896E-3</v>
      </c>
      <c r="G57" s="2"/>
      <c r="H57" s="2"/>
      <c r="I57" s="2"/>
      <c r="J57" s="19">
        <f t="shared" si="6"/>
        <v>0</v>
      </c>
      <c r="K57" s="2"/>
      <c r="L57" s="2">
        <f t="shared" si="7"/>
        <v>1371.26</v>
      </c>
      <c r="M57" s="2"/>
      <c r="N57" s="19">
        <f t="shared" si="8"/>
        <v>0</v>
      </c>
      <c r="O57" s="11"/>
      <c r="P57" s="2">
        <v>5564.77</v>
      </c>
      <c r="Q57" s="2"/>
      <c r="R57" s="19">
        <f t="shared" si="9"/>
        <v>2.9490138678273147E-3</v>
      </c>
      <c r="S57" s="2"/>
      <c r="T57" s="2"/>
      <c r="U57" s="2"/>
      <c r="V57" s="19">
        <f t="shared" si="10"/>
        <v>0</v>
      </c>
      <c r="W57" s="2"/>
      <c r="X57" s="2">
        <f t="shared" si="11"/>
        <v>5564.77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5344.15</v>
      </c>
      <c r="Q58" s="2"/>
      <c r="R58" s="19">
        <f t="shared" si="9"/>
        <v>2.8320977258268249E-3</v>
      </c>
      <c r="S58" s="2"/>
      <c r="T58" s="2"/>
      <c r="U58" s="2"/>
      <c r="V58" s="19">
        <f t="shared" si="10"/>
        <v>0</v>
      </c>
      <c r="W58" s="2"/>
      <c r="X58" s="2">
        <f t="shared" si="11"/>
        <v>5344.15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39218.65</v>
      </c>
      <c r="E59" s="2"/>
      <c r="F59" s="19">
        <f t="shared" si="5"/>
        <v>9.5862721226670514E-2</v>
      </c>
      <c r="G59" s="2"/>
      <c r="H59" s="2"/>
      <c r="I59" s="2"/>
      <c r="J59" s="19">
        <f t="shared" si="6"/>
        <v>0</v>
      </c>
      <c r="K59" s="2"/>
      <c r="L59" s="2">
        <f t="shared" si="7"/>
        <v>39218.65</v>
      </c>
      <c r="M59" s="2"/>
      <c r="N59" s="19">
        <f t="shared" si="8"/>
        <v>0</v>
      </c>
      <c r="O59" s="11"/>
      <c r="P59" s="2">
        <v>279090.25</v>
      </c>
      <c r="Q59" s="2"/>
      <c r="R59" s="19">
        <f t="shared" si="9"/>
        <v>0.14790207279463341</v>
      </c>
      <c r="S59" s="2"/>
      <c r="T59" s="2"/>
      <c r="U59" s="2"/>
      <c r="V59" s="19">
        <f t="shared" si="10"/>
        <v>0</v>
      </c>
      <c r="W59" s="2"/>
      <c r="X59" s="2">
        <f t="shared" si="11"/>
        <v>279090.25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"5041", " - ", "PURCHASES @ COST-LOGO GIFTS")</f>
        <v xml:space="preserve">          5041 - PURCHASES @ COST-LOGO GIFTS</v>
      </c>
      <c r="C60" s="11"/>
      <c r="D60" s="2">
        <v>15798.51</v>
      </c>
      <c r="E60" s="2"/>
      <c r="F60" s="19">
        <f t="shared" si="5"/>
        <v>3.861652963390546E-2</v>
      </c>
      <c r="G60" s="2"/>
      <c r="H60" s="2"/>
      <c r="I60" s="2"/>
      <c r="J60" s="19">
        <f t="shared" si="6"/>
        <v>0</v>
      </c>
      <c r="K60" s="2"/>
      <c r="L60" s="2">
        <f t="shared" si="7"/>
        <v>15798.51</v>
      </c>
      <c r="M60" s="2"/>
      <c r="N60" s="19">
        <f t="shared" si="8"/>
        <v>0</v>
      </c>
      <c r="O60" s="11"/>
      <c r="P60" s="2">
        <v>84261.95</v>
      </c>
      <c r="Q60" s="2"/>
      <c r="R60" s="19">
        <f t="shared" si="9"/>
        <v>4.4654075384997362E-2</v>
      </c>
      <c r="S60" s="2"/>
      <c r="T60" s="2"/>
      <c r="U60" s="2"/>
      <c r="V60" s="19">
        <f t="shared" si="10"/>
        <v>0</v>
      </c>
      <c r="W60" s="2"/>
      <c r="X60" s="2">
        <f t="shared" si="11"/>
        <v>84261.95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"5042", " - ", "PURCHASES @ COST-EVERYDAY GIFT")</f>
        <v xml:space="preserve">          5042 - PURCHASES @ COST-EVERYDAY GIFT</v>
      </c>
      <c r="C61" s="11"/>
      <c r="D61" s="2"/>
      <c r="E61" s="2"/>
      <c r="F61" s="19">
        <f t="shared" si="5"/>
        <v>0</v>
      </c>
      <c r="G61" s="2"/>
      <c r="H61" s="2"/>
      <c r="I61" s="2"/>
      <c r="J61" s="19">
        <f t="shared" si="6"/>
        <v>0</v>
      </c>
      <c r="K61" s="2"/>
      <c r="L61" s="2">
        <f t="shared" si="7"/>
        <v>0</v>
      </c>
      <c r="M61" s="2"/>
      <c r="N61" s="19">
        <f t="shared" si="8"/>
        <v>0</v>
      </c>
      <c r="O61" s="11"/>
      <c r="P61" s="2">
        <v>18748.18</v>
      </c>
      <c r="Q61" s="2"/>
      <c r="R61" s="19">
        <f t="shared" si="9"/>
        <v>9.9354767252775398E-3</v>
      </c>
      <c r="S61" s="2"/>
      <c r="T61" s="2"/>
      <c r="U61" s="2"/>
      <c r="V61" s="19">
        <f t="shared" si="10"/>
        <v>0</v>
      </c>
      <c r="W61" s="2"/>
      <c r="X61" s="2">
        <f t="shared" si="11"/>
        <v>18748.18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"5043", " - ", "PURCHASES @ COST-CARDS")</f>
        <v xml:space="preserve">          5043 - PURCHASES @ COST-CARDS</v>
      </c>
      <c r="C62" s="11"/>
      <c r="D62" s="2">
        <v>41</v>
      </c>
      <c r="E62" s="2"/>
      <c r="F62" s="19">
        <f t="shared" si="5"/>
        <v>1.002169011501796E-4</v>
      </c>
      <c r="G62" s="2"/>
      <c r="H62" s="2"/>
      <c r="I62" s="2"/>
      <c r="J62" s="19">
        <f t="shared" si="6"/>
        <v>0</v>
      </c>
      <c r="K62" s="2"/>
      <c r="L62" s="2">
        <f t="shared" si="7"/>
        <v>41</v>
      </c>
      <c r="M62" s="2"/>
      <c r="N62" s="19">
        <f t="shared" si="8"/>
        <v>0</v>
      </c>
      <c r="O62" s="11"/>
      <c r="P62" s="2">
        <v>55405.33</v>
      </c>
      <c r="Q62" s="2"/>
      <c r="R62" s="19">
        <f t="shared" si="9"/>
        <v>2.9361696264454548E-2</v>
      </c>
      <c r="S62" s="2"/>
      <c r="T62" s="2"/>
      <c r="U62" s="2"/>
      <c r="V62" s="19">
        <f t="shared" si="10"/>
        <v>0</v>
      </c>
      <c r="W62" s="2"/>
      <c r="X62" s="2">
        <f t="shared" si="11"/>
        <v>55405.33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"5044", " - ", "PURCHASES @ COST-ACCESSORIES")</f>
        <v xml:space="preserve">          5044 - PURCHASES @ COST-ACCESSORIES</v>
      </c>
      <c r="C63" s="11"/>
      <c r="D63" s="2">
        <v>1490.88</v>
      </c>
      <c r="E63" s="2"/>
      <c r="F63" s="19">
        <f t="shared" si="5"/>
        <v>3.6441798435799945E-3</v>
      </c>
      <c r="G63" s="2"/>
      <c r="H63" s="2"/>
      <c r="I63" s="2"/>
      <c r="J63" s="19">
        <f t="shared" si="6"/>
        <v>0</v>
      </c>
      <c r="K63" s="2"/>
      <c r="L63" s="2">
        <f t="shared" si="7"/>
        <v>1490.88</v>
      </c>
      <c r="M63" s="2"/>
      <c r="N63" s="19">
        <f t="shared" si="8"/>
        <v>0</v>
      </c>
      <c r="O63" s="11"/>
      <c r="P63" s="2">
        <v>2555.71</v>
      </c>
      <c r="Q63" s="2"/>
      <c r="R63" s="19">
        <f t="shared" si="9"/>
        <v>1.3543819838277135E-3</v>
      </c>
      <c r="S63" s="2"/>
      <c r="T63" s="2"/>
      <c r="U63" s="2"/>
      <c r="V63" s="19">
        <f t="shared" si="10"/>
        <v>0</v>
      </c>
      <c r="W63" s="2"/>
      <c r="X63" s="2">
        <f t="shared" si="11"/>
        <v>2555.71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5771.38</v>
      </c>
      <c r="E64" s="2"/>
      <c r="F64" s="19">
        <f t="shared" si="5"/>
        <v>1.4107068755124965E-2</v>
      </c>
      <c r="G64" s="2"/>
      <c r="H64" s="2"/>
      <c r="I64" s="2"/>
      <c r="J64" s="19">
        <f t="shared" si="6"/>
        <v>0</v>
      </c>
      <c r="K64" s="2"/>
      <c r="L64" s="2">
        <f t="shared" si="7"/>
        <v>5771.38</v>
      </c>
      <c r="M64" s="2"/>
      <c r="N64" s="19">
        <f t="shared" si="8"/>
        <v>0</v>
      </c>
      <c r="O64" s="11"/>
      <c r="P64" s="2">
        <v>114998.07</v>
      </c>
      <c r="Q64" s="2"/>
      <c r="R64" s="19">
        <f t="shared" si="9"/>
        <v>6.0942483373684138E-2</v>
      </c>
      <c r="S64" s="2"/>
      <c r="T64" s="2"/>
      <c r="U64" s="2"/>
      <c r="V64" s="19">
        <f t="shared" si="10"/>
        <v>0</v>
      </c>
      <c r="W64" s="2"/>
      <c r="X64" s="2">
        <f t="shared" si="11"/>
        <v>114998.07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"5086", " - ", "PURCHASES @ COST-COMPUTER SUPP")</f>
        <v xml:space="preserve">          5086 - PURCHASES @ COST-COMPUTER SUPP</v>
      </c>
      <c r="C65" s="11"/>
      <c r="D65" s="2"/>
      <c r="E65" s="2"/>
      <c r="F65" s="19">
        <f t="shared" si="5"/>
        <v>0</v>
      </c>
      <c r="G65" s="2"/>
      <c r="H65" s="2"/>
      <c r="I65" s="2"/>
      <c r="J65" s="19">
        <f t="shared" si="6"/>
        <v>0</v>
      </c>
      <c r="K65" s="2"/>
      <c r="L65" s="2">
        <f t="shared" si="7"/>
        <v>0</v>
      </c>
      <c r="M65" s="2"/>
      <c r="N65" s="19">
        <f t="shared" si="8"/>
        <v>0</v>
      </c>
      <c r="O65" s="11"/>
      <c r="P65" s="2">
        <v>13.21</v>
      </c>
      <c r="Q65" s="2"/>
      <c r="R65" s="19">
        <f t="shared" si="9"/>
        <v>7.0005540559625693E-6</v>
      </c>
      <c r="S65" s="2"/>
      <c r="T65" s="2"/>
      <c r="U65" s="2"/>
      <c r="V65" s="19">
        <f t="shared" si="10"/>
        <v>0</v>
      </c>
      <c r="W65" s="2"/>
      <c r="X65" s="2">
        <f t="shared" si="11"/>
        <v>13.21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>
        <v>-70754.37</v>
      </c>
      <c r="E66" s="2"/>
      <c r="F66" s="19">
        <f t="shared" si="5"/>
        <v>-0.17294594400568858</v>
      </c>
      <c r="G66" s="2"/>
      <c r="H66" s="2"/>
      <c r="I66" s="2"/>
      <c r="J66" s="19">
        <f t="shared" si="6"/>
        <v>0</v>
      </c>
      <c r="K66" s="2"/>
      <c r="L66" s="2">
        <f t="shared" si="7"/>
        <v>-70754.37</v>
      </c>
      <c r="M66" s="2"/>
      <c r="N66" s="19">
        <f t="shared" si="8"/>
        <v>0</v>
      </c>
      <c r="O66" s="11"/>
      <c r="P66" s="2">
        <v>-614625.82999999996</v>
      </c>
      <c r="Q66" s="2"/>
      <c r="R66" s="19">
        <f t="shared" si="9"/>
        <v>-0.32571698312686298</v>
      </c>
      <c r="S66" s="2"/>
      <c r="T66" s="2"/>
      <c r="U66" s="2"/>
      <c r="V66" s="19">
        <f t="shared" si="10"/>
        <v>0</v>
      </c>
      <c r="W66" s="2"/>
      <c r="X66" s="2">
        <f t="shared" si="11"/>
        <v>-614625.82999999996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>
        <v>191894</v>
      </c>
      <c r="E67" s="2"/>
      <c r="F67" s="19">
        <f t="shared" si="5"/>
        <v>0.46904931778811132</v>
      </c>
      <c r="G67" s="2"/>
      <c r="H67" s="2"/>
      <c r="I67" s="2"/>
      <c r="J67" s="19">
        <f t="shared" si="6"/>
        <v>0</v>
      </c>
      <c r="K67" s="2"/>
      <c r="L67" s="2">
        <f t="shared" si="7"/>
        <v>191894</v>
      </c>
      <c r="M67" s="2"/>
      <c r="N67" s="19">
        <f t="shared" si="8"/>
        <v>0</v>
      </c>
      <c r="O67" s="11"/>
      <c r="P67" s="2">
        <v>1024929</v>
      </c>
      <c r="Q67" s="2"/>
      <c r="R67" s="19">
        <f t="shared" si="9"/>
        <v>0.54315449417287354</v>
      </c>
      <c r="S67" s="2"/>
      <c r="T67" s="2"/>
      <c r="U67" s="2"/>
      <c r="V67" s="19">
        <f t="shared" si="10"/>
        <v>0</v>
      </c>
      <c r="W67" s="2"/>
      <c r="X67" s="2">
        <f t="shared" si="11"/>
        <v>1024929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"5525", " - ", "FREIGHT-IN-TEST FORMS")</f>
        <v xml:space="preserve">          5525 - FREIGHT-IN-TEST FORMS</v>
      </c>
      <c r="C68" s="11"/>
      <c r="D68" s="2"/>
      <c r="E68" s="2"/>
      <c r="F68" s="19">
        <f t="shared" si="5"/>
        <v>0</v>
      </c>
      <c r="G68" s="2"/>
      <c r="H68" s="2"/>
      <c r="I68" s="2"/>
      <c r="J68" s="19">
        <f t="shared" si="6"/>
        <v>0</v>
      </c>
      <c r="K68" s="2"/>
      <c r="L68" s="2">
        <f t="shared" si="7"/>
        <v>0</v>
      </c>
      <c r="M68" s="2"/>
      <c r="N68" s="19">
        <f t="shared" si="8"/>
        <v>0</v>
      </c>
      <c r="O68" s="11"/>
      <c r="P68" s="2">
        <v>48.14</v>
      </c>
      <c r="Q68" s="2"/>
      <c r="R68" s="19">
        <f t="shared" si="9"/>
        <v>2.5511481624075552E-5</v>
      </c>
      <c r="S68" s="2"/>
      <c r="T68" s="2"/>
      <c r="U68" s="2"/>
      <c r="V68" s="19">
        <f t="shared" si="10"/>
        <v>0</v>
      </c>
      <c r="W68" s="2"/>
      <c r="X68" s="2">
        <f t="shared" si="11"/>
        <v>48.14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"5526", " - ", "FREIGHT-IN-WRITING INSTRUMENTS")</f>
        <v xml:space="preserve">          5526 - FREIGHT-IN-WRITING INSTRUMENTS</v>
      </c>
      <c r="C69" s="11"/>
      <c r="D69" s="2"/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0</v>
      </c>
      <c r="M69" s="2"/>
      <c r="N69" s="19">
        <f t="shared" si="8"/>
        <v>0</v>
      </c>
      <c r="O69" s="11"/>
      <c r="P69" s="2">
        <v>0</v>
      </c>
      <c r="Q69" s="2"/>
      <c r="R69" s="19">
        <f t="shared" si="9"/>
        <v>0</v>
      </c>
      <c r="S69" s="2"/>
      <c r="T69" s="2"/>
      <c r="U69" s="2"/>
      <c r="V69" s="19">
        <f t="shared" si="10"/>
        <v>0</v>
      </c>
      <c r="W69" s="2"/>
      <c r="X69" s="2">
        <f t="shared" si="11"/>
        <v>0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"5527", " - ", "FREIGHT-IN-SCHOOL SUPPLIES")</f>
        <v xml:space="preserve">          5527 - FREIGHT-IN-SCHOOL SUPPLIES</v>
      </c>
      <c r="C70" s="11"/>
      <c r="D70" s="2"/>
      <c r="E70" s="2"/>
      <c r="F70" s="19">
        <f t="shared" si="5"/>
        <v>0</v>
      </c>
      <c r="G70" s="2"/>
      <c r="H70" s="2"/>
      <c r="I70" s="2"/>
      <c r="J70" s="19">
        <f t="shared" si="6"/>
        <v>0</v>
      </c>
      <c r="K70" s="2"/>
      <c r="L70" s="2">
        <f t="shared" si="7"/>
        <v>0</v>
      </c>
      <c r="M70" s="2"/>
      <c r="N70" s="19">
        <f t="shared" si="8"/>
        <v>0</v>
      </c>
      <c r="O70" s="11"/>
      <c r="P70" s="2">
        <v>218.62</v>
      </c>
      <c r="Q70" s="2"/>
      <c r="R70" s="19">
        <f t="shared" si="9"/>
        <v>1.1585625493675524E-4</v>
      </c>
      <c r="S70" s="2"/>
      <c r="T70" s="2"/>
      <c r="U70" s="2"/>
      <c r="V70" s="19">
        <f t="shared" si="10"/>
        <v>0</v>
      </c>
      <c r="W70" s="2"/>
      <c r="X70" s="2">
        <f t="shared" si="11"/>
        <v>218.62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"5528", " - ", "FREIGHT-IN-ART/TECH")</f>
        <v xml:space="preserve">          5528 - FREIGHT-IN-ART/TECH</v>
      </c>
      <c r="C71" s="11"/>
      <c r="D71" s="2">
        <v>69.73</v>
      </c>
      <c r="E71" s="2"/>
      <c r="F71" s="19">
        <f t="shared" si="5"/>
        <v>1.7044206139517131E-4</v>
      </c>
      <c r="G71" s="2"/>
      <c r="H71" s="2"/>
      <c r="I71" s="2"/>
      <c r="J71" s="19">
        <f t="shared" si="6"/>
        <v>0</v>
      </c>
      <c r="K71" s="2"/>
      <c r="L71" s="2">
        <f t="shared" si="7"/>
        <v>69.73</v>
      </c>
      <c r="M71" s="2"/>
      <c r="N71" s="19">
        <f t="shared" si="8"/>
        <v>0</v>
      </c>
      <c r="O71" s="11"/>
      <c r="P71" s="2">
        <v>176.91</v>
      </c>
      <c r="Q71" s="2"/>
      <c r="R71" s="19">
        <f t="shared" si="9"/>
        <v>9.3752310222584254E-5</v>
      </c>
      <c r="S71" s="2"/>
      <c r="T71" s="2"/>
      <c r="U71" s="2"/>
      <c r="V71" s="19">
        <f t="shared" si="10"/>
        <v>0</v>
      </c>
      <c r="W71" s="2"/>
      <c r="X71" s="2">
        <f t="shared" si="11"/>
        <v>176.91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"5540", " - ", "FREIGHT-IN-LOGO CLOTHING")</f>
        <v xml:space="preserve">          5540 - FREIGHT-IN-LOGO CLOTHING</v>
      </c>
      <c r="C72" s="11"/>
      <c r="D72" s="2">
        <v>2107.65</v>
      </c>
      <c r="E72" s="2"/>
      <c r="F72" s="19">
        <f t="shared" si="5"/>
        <v>5.1517597977847815E-3</v>
      </c>
      <c r="G72" s="2"/>
      <c r="H72" s="2"/>
      <c r="I72" s="2"/>
      <c r="J72" s="19">
        <f t="shared" si="6"/>
        <v>0</v>
      </c>
      <c r="K72" s="2"/>
      <c r="L72" s="2">
        <f t="shared" si="7"/>
        <v>2107.65</v>
      </c>
      <c r="M72" s="2"/>
      <c r="N72" s="19">
        <f t="shared" si="8"/>
        <v>0</v>
      </c>
      <c r="O72" s="11"/>
      <c r="P72" s="2">
        <v>9216.02</v>
      </c>
      <c r="Q72" s="2"/>
      <c r="R72" s="19">
        <f t="shared" si="9"/>
        <v>4.8839701885565598E-3</v>
      </c>
      <c r="S72" s="2"/>
      <c r="T72" s="2"/>
      <c r="U72" s="2"/>
      <c r="V72" s="19">
        <f t="shared" si="10"/>
        <v>0</v>
      </c>
      <c r="W72" s="2"/>
      <c r="X72" s="2">
        <f t="shared" si="11"/>
        <v>9216.02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"5541", " - ", "FREIGHT-IN-LOGO GIFTS")</f>
        <v xml:space="preserve">          5541 - FREIGHT-IN-LOGO GIFTS</v>
      </c>
      <c r="C73" s="11"/>
      <c r="D73" s="2">
        <v>2877.99</v>
      </c>
      <c r="E73" s="2"/>
      <c r="F73" s="19">
        <f t="shared" si="5"/>
        <v>7.0347131546635456E-3</v>
      </c>
      <c r="G73" s="2"/>
      <c r="H73" s="2"/>
      <c r="I73" s="2"/>
      <c r="J73" s="19">
        <f t="shared" si="6"/>
        <v>0</v>
      </c>
      <c r="K73" s="2"/>
      <c r="L73" s="2">
        <f t="shared" si="7"/>
        <v>2877.99</v>
      </c>
      <c r="M73" s="2"/>
      <c r="N73" s="19">
        <f t="shared" si="8"/>
        <v>0</v>
      </c>
      <c r="O73" s="11"/>
      <c r="P73" s="2">
        <v>5015.99</v>
      </c>
      <c r="Q73" s="2"/>
      <c r="R73" s="19">
        <f t="shared" si="9"/>
        <v>2.6581914564093628E-3</v>
      </c>
      <c r="S73" s="2"/>
      <c r="T73" s="2"/>
      <c r="U73" s="2"/>
      <c r="V73" s="19">
        <f t="shared" si="10"/>
        <v>0</v>
      </c>
      <c r="W73" s="2"/>
      <c r="X73" s="2">
        <f t="shared" si="11"/>
        <v>5015.99</v>
      </c>
      <c r="Y73" s="2"/>
      <c r="Z73" s="19">
        <f t="shared" si="12"/>
        <v>0</v>
      </c>
    </row>
    <row r="74" spans="1:26" s="24" customFormat="1" hidden="1" outlineLevel="1" x14ac:dyDescent="0.25">
      <c r="A74" s="44"/>
      <c r="B74" s="11" t="str">
        <f>CONCATENATE("          ", "5542", " - ", "FREIGHT-IN-EVERYDAY GIFTS")</f>
        <v xml:space="preserve">          5542 - FREIGHT-IN-EVERYDAY GIFTS</v>
      </c>
      <c r="C74" s="11"/>
      <c r="D74" s="2"/>
      <c r="E74" s="2"/>
      <c r="F74" s="19">
        <f t="shared" si="5"/>
        <v>0</v>
      </c>
      <c r="G74" s="2"/>
      <c r="H74" s="2"/>
      <c r="I74" s="2"/>
      <c r="J74" s="19">
        <f t="shared" si="6"/>
        <v>0</v>
      </c>
      <c r="K74" s="2"/>
      <c r="L74" s="2">
        <f t="shared" si="7"/>
        <v>0</v>
      </c>
      <c r="M74" s="2"/>
      <c r="N74" s="19">
        <f t="shared" si="8"/>
        <v>0</v>
      </c>
      <c r="O74" s="11"/>
      <c r="P74" s="2">
        <v>681.72</v>
      </c>
      <c r="Q74" s="2"/>
      <c r="R74" s="19">
        <f t="shared" si="9"/>
        <v>3.6127310454434536E-4</v>
      </c>
      <c r="S74" s="2"/>
      <c r="T74" s="2"/>
      <c r="U74" s="2"/>
      <c r="V74" s="19">
        <f t="shared" si="10"/>
        <v>0</v>
      </c>
      <c r="W74" s="2"/>
      <c r="X74" s="2">
        <f t="shared" si="11"/>
        <v>681.72</v>
      </c>
      <c r="Y74" s="2"/>
      <c r="Z74" s="19">
        <f t="shared" si="12"/>
        <v>0</v>
      </c>
    </row>
    <row r="75" spans="1:26" s="24" customFormat="1" hidden="1" outlineLevel="1" x14ac:dyDescent="0.25">
      <c r="A75" s="44"/>
      <c r="B75" s="11" t="str">
        <f>CONCATENATE("          ", "5543", " - ", "FREIGHT-IN-CARDS")</f>
        <v xml:space="preserve">          5543 - FREIGHT-IN-CARDS</v>
      </c>
      <c r="C75" s="11"/>
      <c r="D75" s="2"/>
      <c r="E75" s="2"/>
      <c r="F75" s="19">
        <f t="shared" si="5"/>
        <v>0</v>
      </c>
      <c r="G75" s="2"/>
      <c r="H75" s="2"/>
      <c r="I75" s="2"/>
      <c r="J75" s="19">
        <f t="shared" si="6"/>
        <v>0</v>
      </c>
      <c r="K75" s="2"/>
      <c r="L75" s="2">
        <f t="shared" si="7"/>
        <v>0</v>
      </c>
      <c r="M75" s="2"/>
      <c r="N75" s="19">
        <f t="shared" si="8"/>
        <v>0</v>
      </c>
      <c r="O75" s="11"/>
      <c r="P75" s="2">
        <v>9110.5300000000007</v>
      </c>
      <c r="Q75" s="2"/>
      <c r="R75" s="19">
        <f t="shared" si="9"/>
        <v>4.8280664453799142E-3</v>
      </c>
      <c r="S75" s="2"/>
      <c r="T75" s="2"/>
      <c r="U75" s="2"/>
      <c r="V75" s="19">
        <f t="shared" si="10"/>
        <v>0</v>
      </c>
      <c r="W75" s="2"/>
      <c r="X75" s="2">
        <f t="shared" si="11"/>
        <v>9110.5300000000007</v>
      </c>
      <c r="Y75" s="2"/>
      <c r="Z75" s="19">
        <f t="shared" si="12"/>
        <v>0</v>
      </c>
    </row>
    <row r="76" spans="1:26" s="24" customFormat="1" hidden="1" outlineLevel="1" x14ac:dyDescent="0.25">
      <c r="A76" s="44"/>
      <c r="B76" s="11" t="str">
        <f>CONCATENATE("          ", "5545", " - ", "FREIGHT-IN-SPECIAL ORDERS")</f>
        <v xml:space="preserve">          5545 - FREIGHT-IN-SPECIAL ORDERS</v>
      </c>
      <c r="C76" s="11"/>
      <c r="D76" s="2">
        <v>168.6</v>
      </c>
      <c r="E76" s="2"/>
      <c r="F76" s="19">
        <f t="shared" si="5"/>
        <v>4.1211145204683611E-4</v>
      </c>
      <c r="G76" s="2"/>
      <c r="H76" s="2"/>
      <c r="I76" s="2"/>
      <c r="J76" s="19">
        <f t="shared" si="6"/>
        <v>0</v>
      </c>
      <c r="K76" s="2"/>
      <c r="L76" s="2">
        <f t="shared" si="7"/>
        <v>168.6</v>
      </c>
      <c r="M76" s="2"/>
      <c r="N76" s="19">
        <f t="shared" si="8"/>
        <v>0</v>
      </c>
      <c r="O76" s="11"/>
      <c r="P76" s="2">
        <v>1434.76</v>
      </c>
      <c r="Q76" s="2"/>
      <c r="R76" s="19">
        <f t="shared" si="9"/>
        <v>7.6034178178144242E-4</v>
      </c>
      <c r="S76" s="2"/>
      <c r="T76" s="2"/>
      <c r="U76" s="2"/>
      <c r="V76" s="19">
        <f t="shared" si="10"/>
        <v>0</v>
      </c>
      <c r="W76" s="2"/>
      <c r="X76" s="2">
        <f t="shared" si="11"/>
        <v>1434.76</v>
      </c>
      <c r="Y76" s="2"/>
      <c r="Z76" s="19">
        <f t="shared" si="12"/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108</v>
      </c>
      <c r="C78" s="28"/>
      <c r="D78" s="21">
        <f>D12-D52</f>
        <v>217218.63</v>
      </c>
      <c r="E78" s="14"/>
      <c r="F78" s="20">
        <f>IF(D$12=0,0,D78/D$12)</f>
        <v>0.53095068221188868</v>
      </c>
      <c r="G78" s="14"/>
      <c r="H78" s="21">
        <f>H12-H52</f>
        <v>210810</v>
      </c>
      <c r="I78" s="14"/>
      <c r="J78" s="20">
        <f>IF(H$12=0,0,H78/H$12)</f>
        <v>0.54166345486780232</v>
      </c>
      <c r="K78" s="16"/>
      <c r="L78" s="21">
        <f>+D78-H78</f>
        <v>6408.6300000000047</v>
      </c>
      <c r="M78" s="16"/>
      <c r="N78" s="20">
        <f>IF(H78=0,0,L78/H78)</f>
        <v>3.0400028461647952E-2</v>
      </c>
      <c r="O78" s="29"/>
      <c r="P78" s="21">
        <f>P12-P52</f>
        <v>861147.9599999995</v>
      </c>
      <c r="Q78" s="14"/>
      <c r="R78" s="20">
        <f>IF(P$12=0,0,P78/P$12)</f>
        <v>0.4563597913824291</v>
      </c>
      <c r="S78" s="14"/>
      <c r="T78" s="21">
        <f>T12-T52</f>
        <v>1789485</v>
      </c>
      <c r="U78" s="14"/>
      <c r="V78" s="20">
        <f>IF(T$12=0,0,T78/T$12)</f>
        <v>0.54215202985299815</v>
      </c>
      <c r="W78" s="16"/>
      <c r="X78" s="21">
        <f>+P78-T78</f>
        <v>-928337.0400000005</v>
      </c>
      <c r="Y78" s="16"/>
      <c r="Z78" s="20">
        <f>IF(T78=0,0,X78/T78)</f>
        <v>-0.5187733006982459</v>
      </c>
    </row>
    <row r="79" spans="1:26" x14ac:dyDescent="0.25">
      <c r="A79" s="9"/>
      <c r="B79" s="10"/>
      <c r="C79" s="9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295</v>
      </c>
      <c r="C80" s="10"/>
      <c r="D80" s="22">
        <f>SUM(OSRRefD22x_0)</f>
        <v>81431.67</v>
      </c>
      <c r="E80" s="22"/>
      <c r="F80" s="32">
        <f t="shared" ref="F80:F90" si="13">IF(D$12=0,0,D80/D$12)</f>
        <v>0.19904462494839134</v>
      </c>
      <c r="G80" s="22"/>
      <c r="H80" s="22">
        <f>SUM(OSRRefH22x_0)</f>
        <v>141427.9719726539</v>
      </c>
      <c r="I80" s="22"/>
      <c r="J80" s="32">
        <f t="shared" ref="J80:J90" si="14">IF(H$12=0,0,H80/H$12)</f>
        <v>0.36339055981051388</v>
      </c>
      <c r="K80" s="4"/>
      <c r="L80" s="22">
        <f t="shared" ref="L80:L90" si="15">+D80-H80</f>
        <v>-59996.301972653906</v>
      </c>
      <c r="M80" s="4"/>
      <c r="N80" s="32">
        <f t="shared" ref="N80:N90" si="16">IF(H80=0,0,L80/H80)</f>
        <v>-0.42421807465537731</v>
      </c>
      <c r="O80" s="10"/>
      <c r="P80" s="22">
        <f>SUM(OSRRefP22x_0)</f>
        <v>689587.46</v>
      </c>
      <c r="Q80" s="22"/>
      <c r="R80" s="32">
        <f t="shared" ref="R80:R90" si="17">IF(P$12=0,0,P80/P$12)</f>
        <v>0.36544241408356737</v>
      </c>
      <c r="S80" s="22"/>
      <c r="T80" s="22">
        <f>SUM(OSRRefT22x_0)</f>
        <v>1284732.0191461539</v>
      </c>
      <c r="U80" s="22"/>
      <c r="V80" s="32">
        <f t="shared" ref="V80:V90" si="18">IF(T$12=0,0,T80/T$12)</f>
        <v>0.38922934363642514</v>
      </c>
      <c r="W80" s="4"/>
      <c r="X80" s="22">
        <f t="shared" ref="X80:X90" si="19">+P80-T80</f>
        <v>-595144.55914615397</v>
      </c>
      <c r="Y80" s="4"/>
      <c r="Z80" s="32">
        <f t="shared" ref="Z80:Z90" si="20">IF(T80=0,0,X80/T80)</f>
        <v>-0.46324412428180406</v>
      </c>
    </row>
    <row r="81" spans="1:26" s="25" customFormat="1" outlineLevel="1" collapsed="1" x14ac:dyDescent="0.25">
      <c r="A81" s="27"/>
      <c r="B81" s="13" t="str">
        <f>CONCATENATE("     ","*Benefits                                         ")</f>
        <v xml:space="preserve">     *Benefits                                         </v>
      </c>
      <c r="C81" s="13"/>
      <c r="D81" s="1">
        <f>SUM(OSRRefD22_0x_0)</f>
        <v>15713.970000000001</v>
      </c>
      <c r="E81" s="1"/>
      <c r="F81" s="5">
        <f t="shared" si="13"/>
        <v>3.8409887272363115E-2</v>
      </c>
      <c r="G81" s="1"/>
      <c r="H81" s="1">
        <f>SUM(OSRRefH22_0x_0)</f>
        <v>15737.367549576908</v>
      </c>
      <c r="I81" s="1"/>
      <c r="J81" s="5">
        <f t="shared" si="14"/>
        <v>4.0436207378341964E-2</v>
      </c>
      <c r="K81" s="1"/>
      <c r="L81" s="1">
        <f t="shared" si="15"/>
        <v>-23.397549576906385</v>
      </c>
      <c r="M81" s="1"/>
      <c r="N81" s="5">
        <f t="shared" si="16"/>
        <v>-1.4867511674489307E-3</v>
      </c>
      <c r="O81" s="13"/>
      <c r="P81" s="1">
        <f>SUM(OSRRefP22_0x_0)</f>
        <v>149688.74000000002</v>
      </c>
      <c r="Q81" s="1"/>
      <c r="R81" s="5">
        <f t="shared" si="17"/>
        <v>7.9326579556315405E-2</v>
      </c>
      <c r="S81" s="1"/>
      <c r="T81" s="1">
        <f>SUM(OSRRefT22_0x_0)</f>
        <v>151333.80722307699</v>
      </c>
      <c r="U81" s="1"/>
      <c r="V81" s="5">
        <f t="shared" si="18"/>
        <v>4.5848906680622359E-2</v>
      </c>
      <c r="W81" s="1"/>
      <c r="X81" s="1">
        <f t="shared" si="19"/>
        <v>-1645.0672230769705</v>
      </c>
      <c r="Y81" s="1"/>
      <c r="Z81" s="5">
        <f t="shared" si="20"/>
        <v>-1.0870454218151152E-2</v>
      </c>
    </row>
    <row r="82" spans="1:26" s="24" customFormat="1" hidden="1" outlineLevel="2" x14ac:dyDescent="0.25">
      <c r="A82" s="26"/>
      <c r="B82" s="11" t="str">
        <f>CONCATENATE("          ", "6111", " - ", "F.I.C.A.")</f>
        <v xml:space="preserve">          6111 - F.I.C.A.</v>
      </c>
      <c r="C82" s="11"/>
      <c r="D82" s="7">
        <v>3546.36</v>
      </c>
      <c r="E82" s="2"/>
      <c r="F82" s="6">
        <f t="shared" si="13"/>
        <v>8.6684197454378279E-3</v>
      </c>
      <c r="G82" s="2"/>
      <c r="H82" s="7">
        <v>2229.0171951922998</v>
      </c>
      <c r="I82" s="2"/>
      <c r="J82" s="6">
        <f t="shared" si="14"/>
        <v>5.7273239168331661E-3</v>
      </c>
      <c r="K82" s="2"/>
      <c r="L82" s="7">
        <f t="shared" si="15"/>
        <v>1317.3428048077003</v>
      </c>
      <c r="M82" s="2"/>
      <c r="N82" s="6">
        <f t="shared" si="16"/>
        <v>0.59099714782328172</v>
      </c>
      <c r="O82" s="11"/>
      <c r="P82" s="7">
        <v>29868.65</v>
      </c>
      <c r="Q82" s="2"/>
      <c r="R82" s="6">
        <f t="shared" si="17"/>
        <v>1.5828697873098138E-2</v>
      </c>
      <c r="S82" s="2"/>
      <c r="T82" s="7">
        <v>25498.671597692301</v>
      </c>
      <c r="U82" s="2"/>
      <c r="V82" s="6">
        <f t="shared" si="18"/>
        <v>7.7252151123054242E-3</v>
      </c>
      <c r="W82" s="2"/>
      <c r="X82" s="7">
        <f t="shared" si="19"/>
        <v>4369.9784023077009</v>
      </c>
      <c r="Y82" s="2"/>
      <c r="Z82" s="6">
        <f t="shared" si="20"/>
        <v>0.17138062998949311</v>
      </c>
    </row>
    <row r="83" spans="1:26" s="24" customFormat="1" hidden="1" outlineLevel="2" x14ac:dyDescent="0.25">
      <c r="A83" s="26"/>
      <c r="B83" s="11" t="str">
        <f>CONCATENATE("          ", "6112", " - ", "COMPENSATION INSURANCE")</f>
        <v xml:space="preserve">          6112 - COMPENSATION INSURANCE</v>
      </c>
      <c r="C83" s="11"/>
      <c r="D83" s="7">
        <v>695.25</v>
      </c>
      <c r="E83" s="2"/>
      <c r="F83" s="6">
        <f t="shared" si="13"/>
        <v>1.699409768894204E-3</v>
      </c>
      <c r="G83" s="2"/>
      <c r="H83" s="7">
        <v>1466.8242573077</v>
      </c>
      <c r="I83" s="2"/>
      <c r="J83" s="6">
        <f t="shared" si="14"/>
        <v>3.7689155870081451E-3</v>
      </c>
      <c r="K83" s="2"/>
      <c r="L83" s="7">
        <f t="shared" si="15"/>
        <v>-771.57425730770001</v>
      </c>
      <c r="M83" s="2"/>
      <c r="N83" s="6">
        <f t="shared" si="16"/>
        <v>-0.52601683771162544</v>
      </c>
      <c r="O83" s="11"/>
      <c r="P83" s="7">
        <v>9926.1200000000008</v>
      </c>
      <c r="Q83" s="2"/>
      <c r="R83" s="6">
        <f t="shared" si="17"/>
        <v>5.2602830905352895E-3</v>
      </c>
      <c r="S83" s="2"/>
      <c r="T83" s="7">
        <v>12884.980042307699</v>
      </c>
      <c r="U83" s="2"/>
      <c r="V83" s="6">
        <f t="shared" si="18"/>
        <v>3.9037030679511084E-3</v>
      </c>
      <c r="W83" s="2"/>
      <c r="X83" s="7">
        <f t="shared" si="19"/>
        <v>-2958.8600423076987</v>
      </c>
      <c r="Y83" s="2"/>
      <c r="Z83" s="6">
        <f t="shared" si="20"/>
        <v>-0.2296363698346689</v>
      </c>
    </row>
    <row r="84" spans="1:26" s="24" customFormat="1" hidden="1" outlineLevel="2" x14ac:dyDescent="0.25">
      <c r="A84" s="26"/>
      <c r="B84" s="11" t="str">
        <f>CONCATENATE("          ", "6113", " - ", "GROUP INSURANCE")</f>
        <v xml:space="preserve">          6113 - GROUP INSURANCE</v>
      </c>
      <c r="C84" s="11"/>
      <c r="D84" s="7">
        <v>4822.38</v>
      </c>
      <c r="E84" s="2"/>
      <c r="F84" s="6">
        <f t="shared" si="13"/>
        <v>1.1787414140697637E-2</v>
      </c>
      <c r="G84" s="2"/>
      <c r="H84" s="7">
        <v>6112.3076923076896</v>
      </c>
      <c r="I84" s="2"/>
      <c r="J84" s="6">
        <f t="shared" si="14"/>
        <v>1.5705202323563528E-2</v>
      </c>
      <c r="K84" s="2"/>
      <c r="L84" s="7">
        <f t="shared" si="15"/>
        <v>-1289.9276923076895</v>
      </c>
      <c r="M84" s="2"/>
      <c r="N84" s="6">
        <f t="shared" si="16"/>
        <v>-0.21103775484520476</v>
      </c>
      <c r="O84" s="11"/>
      <c r="P84" s="7">
        <v>53412.18</v>
      </c>
      <c r="Q84" s="2"/>
      <c r="R84" s="6">
        <f t="shared" si="17"/>
        <v>2.8305439313913914E-2</v>
      </c>
      <c r="S84" s="2"/>
      <c r="T84" s="7">
        <v>60202.307692307702</v>
      </c>
      <c r="U84" s="2"/>
      <c r="V84" s="6">
        <f t="shared" si="18"/>
        <v>1.8239215929286574E-2</v>
      </c>
      <c r="W84" s="2"/>
      <c r="X84" s="7">
        <f t="shared" si="19"/>
        <v>-6790.1276923077021</v>
      </c>
      <c r="Y84" s="2"/>
      <c r="Z84" s="6">
        <f t="shared" si="20"/>
        <v>-0.11278849520207519</v>
      </c>
    </row>
    <row r="85" spans="1:26" s="24" customFormat="1" hidden="1" outlineLevel="2" x14ac:dyDescent="0.25">
      <c r="A85" s="26"/>
      <c r="B85" s="11" t="str">
        <f>CONCATENATE("          ", "6114", " - ", "STATE UNEMPLOYMENT INSURANCE")</f>
        <v xml:space="preserve">          6114 - STATE UNEMPLOYMENT INSURANCE</v>
      </c>
      <c r="C85" s="11"/>
      <c r="D85" s="7">
        <v>97.71</v>
      </c>
      <c r="E85" s="2"/>
      <c r="F85" s="6">
        <f t="shared" si="13"/>
        <v>2.3883398564351335E-4</v>
      </c>
      <c r="G85" s="2"/>
      <c r="H85" s="7">
        <v>206.14827399999999</v>
      </c>
      <c r="I85" s="2"/>
      <c r="J85" s="6">
        <f t="shared" si="14"/>
        <v>5.2968543384979052E-4</v>
      </c>
      <c r="K85" s="2"/>
      <c r="L85" s="7">
        <f t="shared" si="15"/>
        <v>-108.43827399999999</v>
      </c>
      <c r="M85" s="2"/>
      <c r="N85" s="6">
        <f t="shared" si="16"/>
        <v>-0.52602077085544752</v>
      </c>
      <c r="O85" s="11"/>
      <c r="P85" s="7">
        <v>1194.9100000000001</v>
      </c>
      <c r="Q85" s="2"/>
      <c r="R85" s="6">
        <f t="shared" si="17"/>
        <v>6.3323482566315166E-4</v>
      </c>
      <c r="S85" s="2"/>
      <c r="T85" s="7">
        <v>1810.8620599999999</v>
      </c>
      <c r="U85" s="2"/>
      <c r="V85" s="6">
        <f t="shared" si="18"/>
        <v>5.4862853927961489E-4</v>
      </c>
      <c r="W85" s="2"/>
      <c r="X85" s="7">
        <f t="shared" si="19"/>
        <v>-615.95205999999985</v>
      </c>
      <c r="Y85" s="2"/>
      <c r="Z85" s="6">
        <f t="shared" si="20"/>
        <v>-0.34014300349304344</v>
      </c>
    </row>
    <row r="86" spans="1:26" s="24" customFormat="1" hidden="1" outlineLevel="2" x14ac:dyDescent="0.25">
      <c r="A86" s="26"/>
      <c r="B86" s="11" t="str">
        <f>CONCATENATE("          ", "6115", " - ", "P.E.R.S.")</f>
        <v xml:space="preserve">          6115 - P.E.R.S.</v>
      </c>
      <c r="C86" s="11"/>
      <c r="D86" s="7">
        <v>1841.51</v>
      </c>
      <c r="E86" s="2"/>
      <c r="F86" s="6">
        <f t="shared" si="13"/>
        <v>4.5012298935870054E-3</v>
      </c>
      <c r="G86" s="2"/>
      <c r="H86" s="7">
        <v>1714.26446153846</v>
      </c>
      <c r="I86" s="2"/>
      <c r="J86" s="6">
        <f t="shared" si="14"/>
        <v>4.4046981205541251E-3</v>
      </c>
      <c r="K86" s="2"/>
      <c r="L86" s="7">
        <f t="shared" si="15"/>
        <v>127.24553846154004</v>
      </c>
      <c r="M86" s="2"/>
      <c r="N86" s="6">
        <f t="shared" si="16"/>
        <v>7.4227484333043936E-2</v>
      </c>
      <c r="O86" s="11"/>
      <c r="P86" s="7">
        <v>20006.36</v>
      </c>
      <c r="Q86" s="2"/>
      <c r="R86" s="6">
        <f t="shared" si="17"/>
        <v>1.0602241078201916E-2</v>
      </c>
      <c r="S86" s="2"/>
      <c r="T86" s="7">
        <v>14899.4920615385</v>
      </c>
      <c r="U86" s="2"/>
      <c r="V86" s="6">
        <f t="shared" si="18"/>
        <v>4.5140304975687029E-3</v>
      </c>
      <c r="W86" s="2"/>
      <c r="X86" s="7">
        <f t="shared" si="19"/>
        <v>5106.8679384615007</v>
      </c>
      <c r="Y86" s="2"/>
      <c r="Z86" s="6">
        <f t="shared" si="20"/>
        <v>0.34275449910432537</v>
      </c>
    </row>
    <row r="87" spans="1:26" s="24" customFormat="1" hidden="1" outlineLevel="2" x14ac:dyDescent="0.25">
      <c r="A87" s="26"/>
      <c r="B87" s="11" t="str">
        <f>CONCATENATE("          ", "6116", " - ", "EDUCATIONAL BENEFITS")</f>
        <v xml:space="preserve">          6116 - EDUCATIONAL BENEFITS</v>
      </c>
      <c r="C87" s="11"/>
      <c r="D87" s="7"/>
      <c r="E87" s="2"/>
      <c r="F87" s="6">
        <f t="shared" si="13"/>
        <v>0</v>
      </c>
      <c r="G87" s="2"/>
      <c r="H87" s="7">
        <v>0</v>
      </c>
      <c r="I87" s="2"/>
      <c r="J87" s="6">
        <f t="shared" si="14"/>
        <v>0</v>
      </c>
      <c r="K87" s="2"/>
      <c r="L87" s="7">
        <f t="shared" si="15"/>
        <v>0</v>
      </c>
      <c r="M87" s="2"/>
      <c r="N87" s="6">
        <f t="shared" si="16"/>
        <v>0</v>
      </c>
      <c r="O87" s="11"/>
      <c r="P87" s="7"/>
      <c r="Q87" s="2"/>
      <c r="R87" s="6">
        <f t="shared" si="17"/>
        <v>0</v>
      </c>
      <c r="S87" s="2"/>
      <c r="T87" s="7">
        <v>0</v>
      </c>
      <c r="U87" s="2"/>
      <c r="V87" s="6">
        <f t="shared" si="18"/>
        <v>0</v>
      </c>
      <c r="W87" s="2"/>
      <c r="X87" s="7">
        <f t="shared" si="19"/>
        <v>0</v>
      </c>
      <c r="Y87" s="2"/>
      <c r="Z87" s="6">
        <f t="shared" si="20"/>
        <v>0</v>
      </c>
    </row>
    <row r="88" spans="1:26" s="24" customFormat="1" hidden="1" outlineLevel="2" x14ac:dyDescent="0.25">
      <c r="A88" s="26"/>
      <c r="B88" s="11" t="str">
        <f>CONCATENATE("          ", "6118", " - ", "VACATION")</f>
        <v xml:space="preserve">          6118 - VACATION</v>
      </c>
      <c r="C88" s="11"/>
      <c r="D88" s="7">
        <v>2449.77</v>
      </c>
      <c r="E88" s="2"/>
      <c r="F88" s="6">
        <f t="shared" si="13"/>
        <v>5.9880087300164747E-3</v>
      </c>
      <c r="G88" s="2"/>
      <c r="H88" s="7">
        <v>1243.86538461538</v>
      </c>
      <c r="I88" s="2"/>
      <c r="J88" s="6">
        <f t="shared" si="14"/>
        <v>3.1960363437276906E-3</v>
      </c>
      <c r="K88" s="2"/>
      <c r="L88" s="7">
        <f t="shared" si="15"/>
        <v>1205.90461538462</v>
      </c>
      <c r="M88" s="2"/>
      <c r="N88" s="6">
        <f t="shared" si="16"/>
        <v>0.96948160974630071</v>
      </c>
      <c r="O88" s="11"/>
      <c r="P88" s="7">
        <v>17712.36</v>
      </c>
      <c r="Q88" s="2"/>
      <c r="R88" s="6">
        <f t="shared" si="17"/>
        <v>9.3865506160991045E-3</v>
      </c>
      <c r="S88" s="2"/>
      <c r="T88" s="7">
        <v>10800.4153846154</v>
      </c>
      <c r="U88" s="2"/>
      <c r="V88" s="6">
        <f t="shared" si="18"/>
        <v>3.2721521130519614E-3</v>
      </c>
      <c r="W88" s="2"/>
      <c r="X88" s="7">
        <f t="shared" si="19"/>
        <v>6911.9446153846002</v>
      </c>
      <c r="Y88" s="2"/>
      <c r="Z88" s="6">
        <f t="shared" si="20"/>
        <v>0.63997025755419434</v>
      </c>
    </row>
    <row r="89" spans="1:26" s="24" customFormat="1" hidden="1" outlineLevel="2" x14ac:dyDescent="0.25">
      <c r="A89" s="26"/>
      <c r="B89" s="11" t="str">
        <f>CONCATENATE("          ", "6119", " - ", "SICK LEAVE")</f>
        <v xml:space="preserve">          6119 - SICK LEAVE</v>
      </c>
      <c r="C89" s="11"/>
      <c r="D89" s="7">
        <v>1658.43</v>
      </c>
      <c r="E89" s="2"/>
      <c r="F89" s="6">
        <f t="shared" si="13"/>
        <v>4.0537247652315212E-3</v>
      </c>
      <c r="G89" s="2"/>
      <c r="H89" s="7">
        <v>1889.9402846153801</v>
      </c>
      <c r="I89" s="2"/>
      <c r="J89" s="6">
        <f t="shared" si="14"/>
        <v>4.8560864477899743E-3</v>
      </c>
      <c r="K89" s="2"/>
      <c r="L89" s="7">
        <f t="shared" si="15"/>
        <v>-231.51028461537999</v>
      </c>
      <c r="M89" s="2"/>
      <c r="N89" s="6">
        <f t="shared" si="16"/>
        <v>-0.12249608440009226</v>
      </c>
      <c r="O89" s="11"/>
      <c r="P89" s="7">
        <v>12895.07</v>
      </c>
      <c r="Q89" s="2"/>
      <c r="R89" s="6">
        <f t="shared" si="17"/>
        <v>6.8336589394717064E-3</v>
      </c>
      <c r="S89" s="2"/>
      <c r="T89" s="7">
        <v>16487.078384615401</v>
      </c>
      <c r="U89" s="2"/>
      <c r="V89" s="6">
        <f t="shared" si="18"/>
        <v>4.9950142150198126E-3</v>
      </c>
      <c r="W89" s="2"/>
      <c r="X89" s="7">
        <f t="shared" si="19"/>
        <v>-3592.0083846154012</v>
      </c>
      <c r="Y89" s="2"/>
      <c r="Z89" s="6">
        <f t="shared" si="20"/>
        <v>-0.21786809650685074</v>
      </c>
    </row>
    <row r="90" spans="1:26" s="24" customFormat="1" hidden="1" outlineLevel="2" x14ac:dyDescent="0.25">
      <c r="A90" s="26"/>
      <c r="B90" s="11" t="str">
        <f>CONCATENATE("          ", "6156", " - ", "EMPLOYEE MEALS")</f>
        <v xml:space="preserve">          6156 - EMPLOYEE MEALS</v>
      </c>
      <c r="C90" s="11"/>
      <c r="D90" s="7">
        <v>602.55999999999995</v>
      </c>
      <c r="E90" s="2"/>
      <c r="F90" s="6">
        <f t="shared" si="13"/>
        <v>1.472846242854932E-3</v>
      </c>
      <c r="G90" s="2"/>
      <c r="H90" s="7">
        <v>875</v>
      </c>
      <c r="I90" s="2"/>
      <c r="J90" s="6">
        <f t="shared" si="14"/>
        <v>2.2482592050155452E-3</v>
      </c>
      <c r="K90" s="2"/>
      <c r="L90" s="7">
        <f t="shared" si="15"/>
        <v>-272.44000000000005</v>
      </c>
      <c r="M90" s="2"/>
      <c r="N90" s="6">
        <f t="shared" si="16"/>
        <v>-0.31136000000000008</v>
      </c>
      <c r="O90" s="11"/>
      <c r="P90" s="7">
        <v>4673.09</v>
      </c>
      <c r="Q90" s="2"/>
      <c r="R90" s="6">
        <f t="shared" si="17"/>
        <v>2.4764738193321818E-3</v>
      </c>
      <c r="S90" s="2"/>
      <c r="T90" s="7">
        <v>8750</v>
      </c>
      <c r="U90" s="2"/>
      <c r="V90" s="6">
        <f t="shared" si="18"/>
        <v>2.6509472061591651E-3</v>
      </c>
      <c r="W90" s="2"/>
      <c r="X90" s="7">
        <f t="shared" si="19"/>
        <v>-4076.91</v>
      </c>
      <c r="Y90" s="2"/>
      <c r="Z90" s="6">
        <f t="shared" si="20"/>
        <v>-0.46593257142857142</v>
      </c>
    </row>
    <row r="91" spans="1:26" s="25" customFormat="1" outlineLevel="1" collapsed="1" x14ac:dyDescent="0.25">
      <c r="A91" s="27"/>
      <c r="B91" s="13" t="str">
        <f>CONCATENATE("     ","*Payroll                                          ")</f>
        <v xml:space="preserve">     *Payroll                                          </v>
      </c>
      <c r="C91" s="13"/>
      <c r="D91" s="1">
        <f>SUM(OSRRefD22_1x_0)</f>
        <v>43955.270000000004</v>
      </c>
      <c r="E91" s="1"/>
      <c r="F91" s="5">
        <f t="shared" ref="F91:F101" si="21">IF(D$12=0,0,D91/D$12)</f>
        <v>0.10744051094193793</v>
      </c>
      <c r="G91" s="1"/>
      <c r="H91" s="1">
        <f>SUM(OSRRefH22_1x_0)</f>
        <v>76672.604423076991</v>
      </c>
      <c r="I91" s="1"/>
      <c r="J91" s="5">
        <f t="shared" ref="J91:J101" si="22">IF(H$12=0,0,H91/H$12)</f>
        <v>0.19700558704765536</v>
      </c>
      <c r="K91" s="1"/>
      <c r="L91" s="1">
        <f t="shared" ref="L91:L101" si="23">+D91-H91</f>
        <v>-32717.334423076987</v>
      </c>
      <c r="M91" s="1"/>
      <c r="N91" s="5">
        <f t="shared" ref="N91:N101" si="24">IF(H91=0,0,L91/H91)</f>
        <v>-0.42671479166853099</v>
      </c>
      <c r="O91" s="13"/>
      <c r="P91" s="1">
        <f>SUM(OSRRefP22_1x_0)</f>
        <v>388939.59</v>
      </c>
      <c r="Q91" s="1"/>
      <c r="R91" s="5">
        <f t="shared" ref="R91:R101" si="25">IF(P$12=0,0,P91/P$12)</f>
        <v>0.20611602000748816</v>
      </c>
      <c r="S91" s="1"/>
      <c r="T91" s="1">
        <f>SUM(OSRRefT22_1x_0)</f>
        <v>673782.211923077</v>
      </c>
      <c r="U91" s="1"/>
      <c r="V91" s="5">
        <f t="shared" ref="V91:V101" si="26">IF(T$12=0,0,T91/T$12)</f>
        <v>0.20413269397225411</v>
      </c>
      <c r="W91" s="1"/>
      <c r="X91" s="1">
        <f t="shared" ref="X91:X101" si="27">+P91-T91</f>
        <v>-284842.62192307698</v>
      </c>
      <c r="Y91" s="1"/>
      <c r="Z91" s="5">
        <f t="shared" ref="Z91:Z101" si="28">IF(T91=0,0,X91/T91)</f>
        <v>-0.42275176886919108</v>
      </c>
    </row>
    <row r="92" spans="1:26" s="24" customFormat="1" hidden="1" outlineLevel="2" x14ac:dyDescent="0.25">
      <c r="A92" s="26"/>
      <c r="B92" s="11" t="str">
        <f>CONCATENATE("          ", "6001", " - ", "ADMINISTRATIVE SALARIES")</f>
        <v xml:space="preserve">          6001 - ADMINISTRATIVE SALARIES</v>
      </c>
      <c r="C92" s="11"/>
      <c r="D92" s="7"/>
      <c r="E92" s="2"/>
      <c r="F92" s="6">
        <f t="shared" si="21"/>
        <v>0</v>
      </c>
      <c r="G92" s="2"/>
      <c r="H92" s="7">
        <v>0</v>
      </c>
      <c r="I92" s="2"/>
      <c r="J92" s="6">
        <f t="shared" si="22"/>
        <v>0</v>
      </c>
      <c r="K92" s="2"/>
      <c r="L92" s="7">
        <f t="shared" si="23"/>
        <v>0</v>
      </c>
      <c r="M92" s="2"/>
      <c r="N92" s="6">
        <f t="shared" si="24"/>
        <v>0</v>
      </c>
      <c r="O92" s="11"/>
      <c r="P92" s="7"/>
      <c r="Q92" s="2"/>
      <c r="R92" s="6">
        <f t="shared" si="25"/>
        <v>0</v>
      </c>
      <c r="S92" s="2"/>
      <c r="T92" s="7">
        <v>0</v>
      </c>
      <c r="U92" s="2"/>
      <c r="V92" s="6">
        <f t="shared" si="26"/>
        <v>0</v>
      </c>
      <c r="W92" s="2"/>
      <c r="X92" s="7">
        <f t="shared" si="27"/>
        <v>0</v>
      </c>
      <c r="Y92" s="2"/>
      <c r="Z92" s="6">
        <f t="shared" si="28"/>
        <v>0</v>
      </c>
    </row>
    <row r="93" spans="1:26" s="24" customFormat="1" hidden="1" outlineLevel="2" x14ac:dyDescent="0.25">
      <c r="A93" s="26"/>
      <c r="B93" s="11" t="str">
        <f>CONCATENATE("          ", "6002", " - ", "STAFF SALARIES")</f>
        <v xml:space="preserve">          6002 - STAFF SALARIES</v>
      </c>
      <c r="C93" s="11"/>
      <c r="D93" s="7">
        <v>22106.6</v>
      </c>
      <c r="E93" s="2"/>
      <c r="F93" s="6">
        <f t="shared" si="21"/>
        <v>5.4035486511379516E-2</v>
      </c>
      <c r="G93" s="2"/>
      <c r="H93" s="7">
        <v>17939.976923077</v>
      </c>
      <c r="I93" s="2"/>
      <c r="J93" s="6">
        <f t="shared" si="22"/>
        <v>4.6095678005799223E-2</v>
      </c>
      <c r="K93" s="2"/>
      <c r="L93" s="7">
        <f t="shared" si="23"/>
        <v>4166.6230769229987</v>
      </c>
      <c r="M93" s="2"/>
      <c r="N93" s="6">
        <f t="shared" si="24"/>
        <v>0.2322535360434764</v>
      </c>
      <c r="O93" s="11"/>
      <c r="P93" s="7">
        <v>187130.61</v>
      </c>
      <c r="Q93" s="2"/>
      <c r="R93" s="6">
        <f t="shared" si="25"/>
        <v>9.916865638381904E-2</v>
      </c>
      <c r="S93" s="2"/>
      <c r="T93" s="7">
        <v>155924.91692307699</v>
      </c>
      <c r="U93" s="2"/>
      <c r="V93" s="6">
        <f t="shared" si="26"/>
        <v>4.7239854044323529E-2</v>
      </c>
      <c r="W93" s="2"/>
      <c r="X93" s="7">
        <f t="shared" si="27"/>
        <v>31205.693076922995</v>
      </c>
      <c r="Y93" s="2"/>
      <c r="Z93" s="6">
        <f t="shared" si="28"/>
        <v>0.20013281836358338</v>
      </c>
    </row>
    <row r="94" spans="1:26" s="24" customFormat="1" hidden="1" outlineLevel="2" x14ac:dyDescent="0.25">
      <c r="A94" s="26"/>
      <c r="B94" s="11" t="str">
        <f>CONCATENATE("          ", "6003", " - ", "STAFF HOURLY-9 MONTH")</f>
        <v xml:space="preserve">          6003 - STAFF HOURLY-9 MONTH</v>
      </c>
      <c r="C94" s="11"/>
      <c r="D94" s="7"/>
      <c r="E94" s="2"/>
      <c r="F94" s="6">
        <f t="shared" si="21"/>
        <v>0</v>
      </c>
      <c r="G94" s="2"/>
      <c r="H94" s="7">
        <v>0</v>
      </c>
      <c r="I94" s="2"/>
      <c r="J94" s="6">
        <f t="shared" si="22"/>
        <v>0</v>
      </c>
      <c r="K94" s="2"/>
      <c r="L94" s="7">
        <f t="shared" si="23"/>
        <v>0</v>
      </c>
      <c r="M94" s="2"/>
      <c r="N94" s="6">
        <f t="shared" si="24"/>
        <v>0</v>
      </c>
      <c r="O94" s="11"/>
      <c r="P94" s="7"/>
      <c r="Q94" s="2"/>
      <c r="R94" s="6">
        <f t="shared" si="25"/>
        <v>0</v>
      </c>
      <c r="S94" s="2"/>
      <c r="T94" s="7">
        <v>0</v>
      </c>
      <c r="U94" s="2"/>
      <c r="V94" s="6">
        <f t="shared" si="26"/>
        <v>0</v>
      </c>
      <c r="W94" s="2"/>
      <c r="X94" s="7">
        <f t="shared" si="27"/>
        <v>0</v>
      </c>
      <c r="Y94" s="2"/>
      <c r="Z94" s="6">
        <f t="shared" si="28"/>
        <v>0</v>
      </c>
    </row>
    <row r="95" spans="1:26" s="24" customFormat="1" hidden="1" outlineLevel="2" x14ac:dyDescent="0.25">
      <c r="A95" s="26"/>
      <c r="B95" s="11" t="str">
        <f>CONCATENATE("          ", "6004", " - ", "STAFF HOURLY")</f>
        <v xml:space="preserve">          6004 - STAFF HOURLY</v>
      </c>
      <c r="C95" s="11"/>
      <c r="D95" s="7">
        <v>5641.76</v>
      </c>
      <c r="E95" s="2"/>
      <c r="F95" s="6">
        <f t="shared" si="21"/>
        <v>1.3790236688610664E-2</v>
      </c>
      <c r="G95" s="2"/>
      <c r="H95" s="7">
        <v>8570.8875000000007</v>
      </c>
      <c r="I95" s="2"/>
      <c r="J95" s="6">
        <f t="shared" si="22"/>
        <v>2.2022373390888771E-2</v>
      </c>
      <c r="K95" s="2"/>
      <c r="L95" s="7">
        <f t="shared" si="23"/>
        <v>-2929.1275000000005</v>
      </c>
      <c r="M95" s="2"/>
      <c r="N95" s="6">
        <f t="shared" si="24"/>
        <v>-0.34175311483204046</v>
      </c>
      <c r="O95" s="11"/>
      <c r="P95" s="7">
        <v>58047.75</v>
      </c>
      <c r="Q95" s="2"/>
      <c r="R95" s="6">
        <f t="shared" si="25"/>
        <v>3.0762029651930447E-2</v>
      </c>
      <c r="S95" s="2"/>
      <c r="T95" s="7">
        <v>74125.695000000007</v>
      </c>
      <c r="U95" s="2"/>
      <c r="V95" s="6">
        <f t="shared" si="26"/>
        <v>2.2457520464555021E-2</v>
      </c>
      <c r="W95" s="2"/>
      <c r="X95" s="7">
        <f t="shared" si="27"/>
        <v>-16077.945000000007</v>
      </c>
      <c r="Y95" s="2"/>
      <c r="Z95" s="6">
        <f t="shared" si="28"/>
        <v>-0.21690110291714643</v>
      </c>
    </row>
    <row r="96" spans="1:26" s="24" customFormat="1" hidden="1" outlineLevel="2" x14ac:dyDescent="0.25">
      <c r="A96" s="26"/>
      <c r="B96" s="11" t="str">
        <f>CONCATENATE("          ", "6005", " - ", "TEMPORARY WAGES-HOURLY")</f>
        <v xml:space="preserve">          6005 - TEMPORARY WAGES-HOURLY</v>
      </c>
      <c r="C96" s="11"/>
      <c r="D96" s="7">
        <v>7541.21</v>
      </c>
      <c r="E96" s="2"/>
      <c r="F96" s="6">
        <f t="shared" si="21"/>
        <v>1.8433090173725509E-2</v>
      </c>
      <c r="G96" s="2"/>
      <c r="H96" s="7">
        <v>0</v>
      </c>
      <c r="I96" s="2"/>
      <c r="J96" s="6">
        <f t="shared" si="22"/>
        <v>0</v>
      </c>
      <c r="K96" s="2"/>
      <c r="L96" s="7">
        <f t="shared" si="23"/>
        <v>7541.21</v>
      </c>
      <c r="M96" s="2"/>
      <c r="N96" s="6">
        <f t="shared" si="24"/>
        <v>0</v>
      </c>
      <c r="O96" s="11"/>
      <c r="P96" s="7">
        <v>59382.07</v>
      </c>
      <c r="Q96" s="2"/>
      <c r="R96" s="6">
        <f t="shared" si="25"/>
        <v>3.1469143905371172E-2</v>
      </c>
      <c r="S96" s="2"/>
      <c r="T96" s="7">
        <v>0</v>
      </c>
      <c r="U96" s="2"/>
      <c r="V96" s="6">
        <f t="shared" si="26"/>
        <v>0</v>
      </c>
      <c r="W96" s="2"/>
      <c r="X96" s="7">
        <f t="shared" si="27"/>
        <v>59382.07</v>
      </c>
      <c r="Y96" s="2"/>
      <c r="Z96" s="6">
        <f t="shared" si="28"/>
        <v>0</v>
      </c>
    </row>
    <row r="97" spans="1:26" s="24" customFormat="1" hidden="1" outlineLevel="2" x14ac:dyDescent="0.25">
      <c r="A97" s="26"/>
      <c r="B97" s="11" t="str">
        <f>CONCATENATE("          ", "6006", " - ", "TEMPORARY PART TIME")</f>
        <v xml:space="preserve">          6006 - TEMPORARY PART TIME</v>
      </c>
      <c r="C97" s="11"/>
      <c r="D97" s="7">
        <v>2207.4699999999998</v>
      </c>
      <c r="E97" s="2"/>
      <c r="F97" s="6">
        <f t="shared" si="21"/>
        <v>5.3957512873655349E-3</v>
      </c>
      <c r="G97" s="2"/>
      <c r="H97" s="7">
        <v>0</v>
      </c>
      <c r="I97" s="2"/>
      <c r="J97" s="6">
        <f t="shared" si="22"/>
        <v>0</v>
      </c>
      <c r="K97" s="2"/>
      <c r="L97" s="7">
        <f t="shared" si="23"/>
        <v>2207.4699999999998</v>
      </c>
      <c r="M97" s="2"/>
      <c r="N97" s="6">
        <f t="shared" si="24"/>
        <v>0</v>
      </c>
      <c r="O97" s="11"/>
      <c r="P97" s="7">
        <v>4978.08</v>
      </c>
      <c r="Q97" s="2"/>
      <c r="R97" s="6">
        <f t="shared" si="25"/>
        <v>2.6381012971162863E-3</v>
      </c>
      <c r="S97" s="2"/>
      <c r="T97" s="7">
        <v>0</v>
      </c>
      <c r="U97" s="2"/>
      <c r="V97" s="6">
        <f t="shared" si="26"/>
        <v>0</v>
      </c>
      <c r="W97" s="2"/>
      <c r="X97" s="7">
        <f t="shared" si="27"/>
        <v>4978.08</v>
      </c>
      <c r="Y97" s="2"/>
      <c r="Z97" s="6">
        <f t="shared" si="28"/>
        <v>0</v>
      </c>
    </row>
    <row r="98" spans="1:26" s="24" customFormat="1" hidden="1" outlineLevel="2" x14ac:dyDescent="0.25">
      <c r="A98" s="26"/>
      <c r="B98" s="11" t="str">
        <f>CONCATENATE("          ", "6007", " - ", "STUDENT HOURLY")</f>
        <v xml:space="preserve">          6007 - STUDENT HOURLY</v>
      </c>
      <c r="C98" s="11"/>
      <c r="D98" s="7">
        <v>4867.8999999999996</v>
      </c>
      <c r="E98" s="2"/>
      <c r="F98" s="6">
        <f t="shared" si="21"/>
        <v>1.1898679344120956E-2</v>
      </c>
      <c r="G98" s="2"/>
      <c r="H98" s="7">
        <v>0</v>
      </c>
      <c r="I98" s="2"/>
      <c r="J98" s="6">
        <f t="shared" si="22"/>
        <v>0</v>
      </c>
      <c r="K98" s="2"/>
      <c r="L98" s="7">
        <f t="shared" si="23"/>
        <v>4867.8999999999996</v>
      </c>
      <c r="M98" s="2"/>
      <c r="N98" s="6">
        <f t="shared" si="24"/>
        <v>0</v>
      </c>
      <c r="O98" s="11"/>
      <c r="P98" s="7">
        <v>70366.39</v>
      </c>
      <c r="Q98" s="2"/>
      <c r="R98" s="6">
        <f t="shared" si="25"/>
        <v>3.7290213241328078E-2</v>
      </c>
      <c r="S98" s="2"/>
      <c r="T98" s="7">
        <v>80431.5</v>
      </c>
      <c r="U98" s="2"/>
      <c r="V98" s="6">
        <f t="shared" si="26"/>
        <v>2.4367961167107533E-2</v>
      </c>
      <c r="W98" s="2"/>
      <c r="X98" s="7">
        <f t="shared" si="27"/>
        <v>-10065.11</v>
      </c>
      <c r="Y98" s="2"/>
      <c r="Z98" s="6">
        <f t="shared" si="28"/>
        <v>-0.12513890702025948</v>
      </c>
    </row>
    <row r="99" spans="1:26" s="24" customFormat="1" hidden="1" outlineLevel="2" x14ac:dyDescent="0.25">
      <c r="A99" s="26"/>
      <c r="B99" s="11" t="str">
        <f>CONCATENATE("          ", "6008", " - ", "STUDENT HOURLY-FICA EXEMPT")</f>
        <v xml:space="preserve">          6008 - STUDENT HOURLY-FICA EXEMPT</v>
      </c>
      <c r="C99" s="11"/>
      <c r="D99" s="7">
        <v>1590.33</v>
      </c>
      <c r="E99" s="2"/>
      <c r="F99" s="6">
        <f t="shared" si="21"/>
        <v>3.8872669367357345E-3</v>
      </c>
      <c r="G99" s="2"/>
      <c r="H99" s="7">
        <v>50161.74</v>
      </c>
      <c r="I99" s="2"/>
      <c r="J99" s="6">
        <f t="shared" si="22"/>
        <v>0.12888753565096739</v>
      </c>
      <c r="K99" s="2"/>
      <c r="L99" s="7">
        <f t="shared" si="23"/>
        <v>-48571.409999999996</v>
      </c>
      <c r="M99" s="2"/>
      <c r="N99" s="6">
        <f t="shared" si="24"/>
        <v>-0.96829595624075238</v>
      </c>
      <c r="O99" s="11"/>
      <c r="P99" s="7">
        <v>9034.69</v>
      </c>
      <c r="Q99" s="2"/>
      <c r="R99" s="6">
        <f t="shared" si="25"/>
        <v>4.7878755279231232E-3</v>
      </c>
      <c r="S99" s="2"/>
      <c r="T99" s="7">
        <v>363300.1</v>
      </c>
      <c r="U99" s="2"/>
      <c r="V99" s="6">
        <f t="shared" si="26"/>
        <v>0.11006735829626803</v>
      </c>
      <c r="W99" s="2"/>
      <c r="X99" s="7">
        <f t="shared" si="27"/>
        <v>-354265.41</v>
      </c>
      <c r="Y99" s="2"/>
      <c r="Z99" s="6">
        <f t="shared" si="28"/>
        <v>-0.97513160607442717</v>
      </c>
    </row>
    <row r="100" spans="1:26" s="24" customFormat="1" hidden="1" outlineLevel="2" x14ac:dyDescent="0.25">
      <c r="A100" s="26"/>
      <c r="B100" s="11" t="str">
        <f>CONCATENATE("          ", "6009", " - ", "TEMPORARY-SEASONAL")</f>
        <v xml:space="preserve">          6009 - TEMPORARY-SEASONAL</v>
      </c>
      <c r="C100" s="11"/>
      <c r="D100" s="7"/>
      <c r="E100" s="2"/>
      <c r="F100" s="6">
        <f t="shared" si="21"/>
        <v>0</v>
      </c>
      <c r="G100" s="2"/>
      <c r="H100" s="7">
        <v>0</v>
      </c>
      <c r="I100" s="2"/>
      <c r="J100" s="6">
        <f t="shared" si="22"/>
        <v>0</v>
      </c>
      <c r="K100" s="2"/>
      <c r="L100" s="7">
        <f t="shared" si="23"/>
        <v>0</v>
      </c>
      <c r="M100" s="2"/>
      <c r="N100" s="6">
        <f t="shared" si="24"/>
        <v>0</v>
      </c>
      <c r="O100" s="11"/>
      <c r="P100" s="7"/>
      <c r="Q100" s="2"/>
      <c r="R100" s="6">
        <f t="shared" si="25"/>
        <v>0</v>
      </c>
      <c r="S100" s="2"/>
      <c r="T100" s="7">
        <v>0</v>
      </c>
      <c r="U100" s="2"/>
      <c r="V100" s="6">
        <f t="shared" si="26"/>
        <v>0</v>
      </c>
      <c r="W100" s="2"/>
      <c r="X100" s="7">
        <f t="shared" si="27"/>
        <v>0</v>
      </c>
      <c r="Y100" s="2"/>
      <c r="Z100" s="6">
        <f t="shared" si="28"/>
        <v>0</v>
      </c>
    </row>
    <row r="101" spans="1:26" s="24" customFormat="1" hidden="1" outlineLevel="2" x14ac:dyDescent="0.25">
      <c r="A101" s="26"/>
      <c r="B101" s="11" t="str">
        <f>CONCATENATE("          ", "6010", " - ", "GRATUITY")</f>
        <v xml:space="preserve">          6010 - GRATUITY</v>
      </c>
      <c r="C101" s="11"/>
      <c r="D101" s="7"/>
      <c r="E101" s="2"/>
      <c r="F101" s="6">
        <f t="shared" si="21"/>
        <v>0</v>
      </c>
      <c r="G101" s="2"/>
      <c r="H101" s="7">
        <v>0</v>
      </c>
      <c r="I101" s="2"/>
      <c r="J101" s="6">
        <f t="shared" si="22"/>
        <v>0</v>
      </c>
      <c r="K101" s="2"/>
      <c r="L101" s="7">
        <f t="shared" si="23"/>
        <v>0</v>
      </c>
      <c r="M101" s="2"/>
      <c r="N101" s="6">
        <f t="shared" si="24"/>
        <v>0</v>
      </c>
      <c r="O101" s="11"/>
      <c r="P101" s="7"/>
      <c r="Q101" s="2"/>
      <c r="R101" s="6">
        <f t="shared" si="25"/>
        <v>0</v>
      </c>
      <c r="S101" s="2"/>
      <c r="T101" s="7">
        <v>0</v>
      </c>
      <c r="U101" s="2"/>
      <c r="V101" s="6">
        <f t="shared" si="26"/>
        <v>0</v>
      </c>
      <c r="W101" s="2"/>
      <c r="X101" s="7">
        <f t="shared" si="27"/>
        <v>0</v>
      </c>
      <c r="Y101" s="2"/>
      <c r="Z101" s="6">
        <f t="shared" si="28"/>
        <v>0</v>
      </c>
    </row>
    <row r="102" spans="1:26" s="25" customFormat="1" outlineLevel="1" collapsed="1" x14ac:dyDescent="0.25">
      <c r="A102" s="27"/>
      <c r="B102" s="13" t="str">
        <f>CONCATENATE("     ","Advertising/Promo                                 ")</f>
        <v xml:space="preserve">     Advertising/Promo                                 </v>
      </c>
      <c r="C102" s="13"/>
      <c r="D102" s="1">
        <f>SUM(OSRRefD22_2x_0)</f>
        <v>1011.62</v>
      </c>
      <c r="E102" s="1"/>
      <c r="F102" s="5">
        <f t="shared" ref="F102:F110" si="29">IF(D$12=0,0,D102/D$12)</f>
        <v>2.4727175985742606E-3</v>
      </c>
      <c r="G102" s="1"/>
      <c r="H102" s="1">
        <f>SUM(OSRRefH22_2x_0)</f>
        <v>630</v>
      </c>
      <c r="I102" s="1"/>
      <c r="J102" s="5">
        <f t="shared" ref="J102:J110" si="30">IF(H$12=0,0,H102/H$12)</f>
        <v>1.6187466276111925E-3</v>
      </c>
      <c r="K102" s="1"/>
      <c r="L102" s="1">
        <f t="shared" ref="L102:L110" si="31">+D102-H102</f>
        <v>381.62</v>
      </c>
      <c r="M102" s="1"/>
      <c r="N102" s="5">
        <f t="shared" ref="N102:N110" si="32">IF(H102=0,0,L102/H102)</f>
        <v>0.6057460317460317</v>
      </c>
      <c r="O102" s="13"/>
      <c r="P102" s="1">
        <f>SUM(OSRRefP22_2x_0)</f>
        <v>14853.74</v>
      </c>
      <c r="Q102" s="1"/>
      <c r="R102" s="5">
        <f t="shared" ref="R102:R110" si="33">IF(P$12=0,0,P102/P$12)</f>
        <v>7.8716434370335684E-3</v>
      </c>
      <c r="S102" s="1"/>
      <c r="T102" s="1">
        <f>SUM(OSRRefT22_2x_0)</f>
        <v>8800</v>
      </c>
      <c r="U102" s="1"/>
      <c r="V102" s="5">
        <f t="shared" ref="V102:V110" si="34">IF(T$12=0,0,T102/T$12)</f>
        <v>2.6660954759086461E-3</v>
      </c>
      <c r="W102" s="1"/>
      <c r="X102" s="1">
        <f t="shared" ref="X102:X110" si="35">+P102-T102</f>
        <v>6053.74</v>
      </c>
      <c r="Y102" s="1"/>
      <c r="Z102" s="5">
        <f t="shared" ref="Z102:Z110" si="36">IF(T102=0,0,X102/T102)</f>
        <v>0.68792500000000001</v>
      </c>
    </row>
    <row r="103" spans="1:26" s="24" customFormat="1" hidden="1" outlineLevel="2" x14ac:dyDescent="0.25">
      <c r="A103" s="26"/>
      <c r="B103" s="11" t="str">
        <f>CONCATENATE("          ", "6362", " - ", "ADVERTISING EXPENSE")</f>
        <v xml:space="preserve">          6362 - ADVERTISING EXPENSE</v>
      </c>
      <c r="C103" s="11"/>
      <c r="D103" s="7">
        <v>1011.62</v>
      </c>
      <c r="E103" s="2"/>
      <c r="F103" s="6">
        <f t="shared" si="29"/>
        <v>2.4727175985742606E-3</v>
      </c>
      <c r="G103" s="2"/>
      <c r="H103" s="7">
        <v>630</v>
      </c>
      <c r="I103" s="2"/>
      <c r="J103" s="6">
        <f t="shared" si="30"/>
        <v>1.6187466276111925E-3</v>
      </c>
      <c r="K103" s="2"/>
      <c r="L103" s="7">
        <f t="shared" si="31"/>
        <v>381.62</v>
      </c>
      <c r="M103" s="2"/>
      <c r="N103" s="6">
        <f t="shared" si="32"/>
        <v>0.6057460317460317</v>
      </c>
      <c r="O103" s="11"/>
      <c r="P103" s="7">
        <v>14853.74</v>
      </c>
      <c r="Q103" s="2"/>
      <c r="R103" s="6">
        <f t="shared" si="33"/>
        <v>7.8716434370335684E-3</v>
      </c>
      <c r="S103" s="2"/>
      <c r="T103" s="7">
        <v>8800</v>
      </c>
      <c r="U103" s="2"/>
      <c r="V103" s="6">
        <f t="shared" si="34"/>
        <v>2.6660954759086461E-3</v>
      </c>
      <c r="W103" s="2"/>
      <c r="X103" s="7">
        <f t="shared" si="35"/>
        <v>6053.74</v>
      </c>
      <c r="Y103" s="2"/>
      <c r="Z103" s="6">
        <f t="shared" si="36"/>
        <v>0.68792500000000001</v>
      </c>
    </row>
    <row r="104" spans="1:26" s="25" customFormat="1" outlineLevel="1" collapsed="1" x14ac:dyDescent="0.25">
      <c r="A104" s="27"/>
      <c r="B104" s="13" t="str">
        <f>CONCATENATE("     ","Bad Debts/Over/Short                              ")</f>
        <v xml:space="preserve">     Bad Debts/Over/Short                              </v>
      </c>
      <c r="C104" s="13"/>
      <c r="D104" s="1">
        <f>SUM(OSRRefD22_3x_0)</f>
        <v>0.26</v>
      </c>
      <c r="E104" s="1"/>
      <c r="F104" s="5">
        <f t="shared" si="29"/>
        <v>6.3552181217187063E-7</v>
      </c>
      <c r="G104" s="1"/>
      <c r="H104" s="1">
        <f>SUM(OSRRefH22_3x_0)</f>
        <v>10</v>
      </c>
      <c r="I104" s="1"/>
      <c r="J104" s="5">
        <f t="shared" si="30"/>
        <v>2.5694390914463372E-5</v>
      </c>
      <c r="K104" s="1"/>
      <c r="L104" s="1">
        <f t="shared" si="31"/>
        <v>-9.74</v>
      </c>
      <c r="M104" s="1"/>
      <c r="N104" s="5">
        <f t="shared" si="32"/>
        <v>-0.97399999999999998</v>
      </c>
      <c r="O104" s="13"/>
      <c r="P104" s="1">
        <f>SUM(OSRRefP22_3x_0)</f>
        <v>-23.1</v>
      </c>
      <c r="Q104" s="1"/>
      <c r="R104" s="5">
        <f t="shared" si="33"/>
        <v>-1.2241695586126824E-5</v>
      </c>
      <c r="S104" s="1"/>
      <c r="T104" s="1">
        <f>SUM(OSRRefT22_3x_0)</f>
        <v>100</v>
      </c>
      <c r="U104" s="1"/>
      <c r="V104" s="5">
        <f t="shared" si="34"/>
        <v>3.0296539498961888E-5</v>
      </c>
      <c r="W104" s="1"/>
      <c r="X104" s="1">
        <f t="shared" si="35"/>
        <v>-123.1</v>
      </c>
      <c r="Y104" s="1"/>
      <c r="Z104" s="5">
        <f t="shared" si="36"/>
        <v>-1.2309999999999999</v>
      </c>
    </row>
    <row r="105" spans="1:26" s="24" customFormat="1" hidden="1" outlineLevel="2" x14ac:dyDescent="0.25">
      <c r="A105" s="26"/>
      <c r="B105" s="11" t="str">
        <f>CONCATENATE("          ", "6272", " - ", "CASH (OVER/SHORT)")</f>
        <v xml:space="preserve">          6272 - CASH (OVER/SHORT)</v>
      </c>
      <c r="C105" s="11"/>
      <c r="D105" s="7">
        <v>0.26</v>
      </c>
      <c r="E105" s="2"/>
      <c r="F105" s="6">
        <f t="shared" si="29"/>
        <v>6.3552181217187063E-7</v>
      </c>
      <c r="G105" s="2"/>
      <c r="H105" s="7">
        <v>10</v>
      </c>
      <c r="I105" s="2"/>
      <c r="J105" s="6">
        <f t="shared" si="30"/>
        <v>2.5694390914463372E-5</v>
      </c>
      <c r="K105" s="2"/>
      <c r="L105" s="7">
        <f t="shared" si="31"/>
        <v>-9.74</v>
      </c>
      <c r="M105" s="2"/>
      <c r="N105" s="6">
        <f t="shared" si="32"/>
        <v>-0.97399999999999998</v>
      </c>
      <c r="O105" s="11"/>
      <c r="P105" s="7">
        <v>-23.1</v>
      </c>
      <c r="Q105" s="2"/>
      <c r="R105" s="6">
        <f t="shared" si="33"/>
        <v>-1.2241695586126824E-5</v>
      </c>
      <c r="S105" s="2"/>
      <c r="T105" s="7">
        <v>100</v>
      </c>
      <c r="U105" s="2"/>
      <c r="V105" s="6">
        <f t="shared" si="34"/>
        <v>3.0296539498961888E-5</v>
      </c>
      <c r="W105" s="2"/>
      <c r="X105" s="7">
        <f t="shared" si="35"/>
        <v>-123.1</v>
      </c>
      <c r="Y105" s="2"/>
      <c r="Z105" s="6">
        <f t="shared" si="36"/>
        <v>-1.2309999999999999</v>
      </c>
    </row>
    <row r="106" spans="1:26" s="25" customFormat="1" outlineLevel="1" collapsed="1" x14ac:dyDescent="0.25">
      <c r="A106" s="27"/>
      <c r="B106" s="13" t="str">
        <f>CONCATENATE("     ","Bank/card Fees                                    ")</f>
        <v xml:space="preserve">     Bank/card Fees                                    </v>
      </c>
      <c r="C106" s="13"/>
      <c r="D106" s="1">
        <f>SUM(OSRRefD22_4x_0)</f>
        <v>494.45</v>
      </c>
      <c r="E106" s="1"/>
      <c r="F106" s="5">
        <f t="shared" si="29"/>
        <v>1.2085913847245439E-3</v>
      </c>
      <c r="G106" s="1"/>
      <c r="H106" s="1">
        <f>SUM(OSRRefH22_4x_0)</f>
        <v>700</v>
      </c>
      <c r="I106" s="1"/>
      <c r="J106" s="5">
        <f t="shared" si="30"/>
        <v>1.7986073640124361E-3</v>
      </c>
      <c r="K106" s="1"/>
      <c r="L106" s="1">
        <f t="shared" si="31"/>
        <v>-205.55</v>
      </c>
      <c r="M106" s="1"/>
      <c r="N106" s="5">
        <f t="shared" si="32"/>
        <v>-0.29364285714285715</v>
      </c>
      <c r="O106" s="13"/>
      <c r="P106" s="1">
        <f>SUM(OSRRefP22_4x_0)</f>
        <v>3832.35</v>
      </c>
      <c r="Q106" s="1"/>
      <c r="R106" s="5">
        <f t="shared" si="33"/>
        <v>2.0309290943503521E-3</v>
      </c>
      <c r="S106" s="1"/>
      <c r="T106" s="1">
        <f>SUM(OSRRefT22_4x_0)</f>
        <v>6986</v>
      </c>
      <c r="U106" s="1"/>
      <c r="V106" s="5">
        <f t="shared" si="34"/>
        <v>2.1165162493974776E-3</v>
      </c>
      <c r="W106" s="1"/>
      <c r="X106" s="1">
        <f t="shared" si="35"/>
        <v>-3153.65</v>
      </c>
      <c r="Y106" s="1"/>
      <c r="Z106" s="5">
        <f t="shared" si="36"/>
        <v>-0.45142427712567995</v>
      </c>
    </row>
    <row r="107" spans="1:26" s="24" customFormat="1" hidden="1" outlineLevel="2" x14ac:dyDescent="0.25">
      <c r="A107" s="26"/>
      <c r="B107" s="11" t="str">
        <f>CONCATENATE("          ", "6381", " - ", "BANK/CREDIT CARD FEES")</f>
        <v xml:space="preserve">          6381 - BANK/CREDIT CARD FEES</v>
      </c>
      <c r="C107" s="11"/>
      <c r="D107" s="7">
        <v>494.45</v>
      </c>
      <c r="E107" s="2"/>
      <c r="F107" s="6">
        <f t="shared" si="29"/>
        <v>1.2085913847245439E-3</v>
      </c>
      <c r="G107" s="2"/>
      <c r="H107" s="7">
        <v>700</v>
      </c>
      <c r="I107" s="2"/>
      <c r="J107" s="6">
        <f t="shared" si="30"/>
        <v>1.7986073640124361E-3</v>
      </c>
      <c r="K107" s="2"/>
      <c r="L107" s="7">
        <f t="shared" si="31"/>
        <v>-205.55</v>
      </c>
      <c r="M107" s="2"/>
      <c r="N107" s="6">
        <f t="shared" si="32"/>
        <v>-0.29364285714285715</v>
      </c>
      <c r="O107" s="11"/>
      <c r="P107" s="7">
        <v>3832.35</v>
      </c>
      <c r="Q107" s="2"/>
      <c r="R107" s="6">
        <f t="shared" si="33"/>
        <v>2.0309290943503521E-3</v>
      </c>
      <c r="S107" s="2"/>
      <c r="T107" s="7">
        <v>6986</v>
      </c>
      <c r="U107" s="2"/>
      <c r="V107" s="6">
        <f t="shared" si="34"/>
        <v>2.1165162493974776E-3</v>
      </c>
      <c r="W107" s="2"/>
      <c r="X107" s="7">
        <f t="shared" si="35"/>
        <v>-3153.65</v>
      </c>
      <c r="Y107" s="2"/>
      <c r="Z107" s="6">
        <f t="shared" si="36"/>
        <v>-0.45142427712567995</v>
      </c>
    </row>
    <row r="108" spans="1:26" s="25" customFormat="1" outlineLevel="1" collapsed="1" x14ac:dyDescent="0.25">
      <c r="A108" s="27"/>
      <c r="B108" s="13" t="str">
        <f>CONCATENATE("     ","Discounts and Markdowns                           ")</f>
        <v xml:space="preserve">     Discounts and Markdowns                           </v>
      </c>
      <c r="C108" s="13"/>
      <c r="D108" s="1">
        <f>SUM(OSRRefD22_5x_0)</f>
        <v>0</v>
      </c>
      <c r="E108" s="1"/>
      <c r="F108" s="5">
        <f t="shared" si="29"/>
        <v>0</v>
      </c>
      <c r="G108" s="1"/>
      <c r="H108" s="1">
        <f>SUM(OSRRefH22_5x_0)</f>
        <v>30436</v>
      </c>
      <c r="I108" s="1"/>
      <c r="J108" s="5">
        <f t="shared" si="30"/>
        <v>7.8203448187260716E-2</v>
      </c>
      <c r="K108" s="1"/>
      <c r="L108" s="1">
        <f t="shared" si="31"/>
        <v>-30436</v>
      </c>
      <c r="M108" s="1"/>
      <c r="N108" s="5">
        <f t="shared" si="32"/>
        <v>-1</v>
      </c>
      <c r="O108" s="13"/>
      <c r="P108" s="1">
        <f>SUM(OSRRefP22_5x_0)</f>
        <v>0</v>
      </c>
      <c r="Q108" s="1"/>
      <c r="R108" s="5">
        <f t="shared" si="33"/>
        <v>0</v>
      </c>
      <c r="S108" s="1"/>
      <c r="T108" s="1">
        <f>SUM(OSRRefT22_5x_0)</f>
        <v>259364</v>
      </c>
      <c r="U108" s="1"/>
      <c r="V108" s="5">
        <f t="shared" si="34"/>
        <v>7.8578316706087517E-2</v>
      </c>
      <c r="W108" s="1"/>
      <c r="X108" s="1">
        <f t="shared" si="35"/>
        <v>-259364</v>
      </c>
      <c r="Y108" s="1"/>
      <c r="Z108" s="5">
        <f t="shared" si="36"/>
        <v>-1</v>
      </c>
    </row>
    <row r="109" spans="1:26" s="24" customFormat="1" hidden="1" outlineLevel="2" x14ac:dyDescent="0.25">
      <c r="A109" s="26"/>
      <c r="B109" s="11" t="str">
        <f>CONCATENATE("          ", "6382", " - ", "DISCOUNTS/MARK DOWNS")</f>
        <v xml:space="preserve">          6382 - DISCOUNTS/MARK DOWNS</v>
      </c>
      <c r="C109" s="11"/>
      <c r="D109" s="7">
        <v>0</v>
      </c>
      <c r="E109" s="2"/>
      <c r="F109" s="6">
        <f t="shared" si="29"/>
        <v>0</v>
      </c>
      <c r="G109" s="2"/>
      <c r="H109" s="7">
        <v>30436</v>
      </c>
      <c r="I109" s="2"/>
      <c r="J109" s="6">
        <f t="shared" si="30"/>
        <v>7.8203448187260716E-2</v>
      </c>
      <c r="K109" s="2"/>
      <c r="L109" s="7">
        <f t="shared" si="31"/>
        <v>-30436</v>
      </c>
      <c r="M109" s="2"/>
      <c r="N109" s="6">
        <f t="shared" si="32"/>
        <v>-1</v>
      </c>
      <c r="O109" s="11"/>
      <c r="P109" s="7">
        <v>0</v>
      </c>
      <c r="Q109" s="2"/>
      <c r="R109" s="6">
        <f t="shared" si="33"/>
        <v>0</v>
      </c>
      <c r="S109" s="2"/>
      <c r="T109" s="7">
        <v>259364</v>
      </c>
      <c r="U109" s="2"/>
      <c r="V109" s="6">
        <f t="shared" si="34"/>
        <v>7.8578316706087517E-2</v>
      </c>
      <c r="W109" s="2"/>
      <c r="X109" s="7">
        <f t="shared" si="35"/>
        <v>-259364</v>
      </c>
      <c r="Y109" s="2"/>
      <c r="Z109" s="6">
        <f t="shared" si="36"/>
        <v>-1</v>
      </c>
    </row>
    <row r="110" spans="1:26" s="24" customFormat="1" hidden="1" outlineLevel="2" x14ac:dyDescent="0.25">
      <c r="A110" s="26"/>
      <c r="B110" s="11" t="str">
        <f>CONCATENATE("          ", "9175", " - ", "EARNED DISCOUNTS")</f>
        <v xml:space="preserve">          9175 - EARNED DISCOUNTS</v>
      </c>
      <c r="C110" s="11"/>
      <c r="D110" s="7">
        <v>0</v>
      </c>
      <c r="E110" s="2"/>
      <c r="F110" s="6">
        <f t="shared" si="29"/>
        <v>0</v>
      </c>
      <c r="G110" s="2"/>
      <c r="H110" s="7"/>
      <c r="I110" s="2"/>
      <c r="J110" s="6">
        <f t="shared" si="30"/>
        <v>0</v>
      </c>
      <c r="K110" s="2"/>
      <c r="L110" s="7">
        <f t="shared" si="31"/>
        <v>0</v>
      </c>
      <c r="M110" s="2"/>
      <c r="N110" s="6">
        <f t="shared" si="32"/>
        <v>0</v>
      </c>
      <c r="O110" s="11"/>
      <c r="P110" s="7">
        <v>0</v>
      </c>
      <c r="Q110" s="2"/>
      <c r="R110" s="6">
        <f t="shared" si="33"/>
        <v>0</v>
      </c>
      <c r="S110" s="2"/>
      <c r="T110" s="7"/>
      <c r="U110" s="2"/>
      <c r="V110" s="6">
        <f t="shared" si="34"/>
        <v>0</v>
      </c>
      <c r="W110" s="2"/>
      <c r="X110" s="7">
        <f t="shared" si="35"/>
        <v>0</v>
      </c>
      <c r="Y110" s="2"/>
      <c r="Z110" s="6">
        <f t="shared" si="36"/>
        <v>0</v>
      </c>
    </row>
    <row r="111" spans="1:26" s="25" customFormat="1" outlineLevel="1" collapsed="1" x14ac:dyDescent="0.25">
      <c r="A111" s="27"/>
      <c r="B111" s="13" t="str">
        <f>CONCATENATE("     ","Donations                                         ")</f>
        <v xml:space="preserve">     Donations                                         </v>
      </c>
      <c r="C111" s="13"/>
      <c r="D111" s="1">
        <f>SUM(OSRRefD22_6x_0)</f>
        <v>0</v>
      </c>
      <c r="E111" s="1"/>
      <c r="F111" s="5">
        <f t="shared" ref="F111:F117" si="37">IF(D$12=0,0,D111/D$12)</f>
        <v>0</v>
      </c>
      <c r="G111" s="1"/>
      <c r="H111" s="1">
        <f>SUM(OSRRefH22_6x_0)</f>
        <v>0</v>
      </c>
      <c r="I111" s="1"/>
      <c r="J111" s="5">
        <f t="shared" ref="J111:J117" si="38">IF(H$12=0,0,H111/H$12)</f>
        <v>0</v>
      </c>
      <c r="K111" s="1"/>
      <c r="L111" s="1">
        <f t="shared" ref="L111:L117" si="39">+D111-H111</f>
        <v>0</v>
      </c>
      <c r="M111" s="1"/>
      <c r="N111" s="5">
        <f t="shared" ref="N111:N117" si="40">IF(H111=0,0,L111/H111)</f>
        <v>0</v>
      </c>
      <c r="O111" s="13"/>
      <c r="P111" s="1">
        <f>SUM(OSRRefP22_6x_0)</f>
        <v>0</v>
      </c>
      <c r="Q111" s="1"/>
      <c r="R111" s="5">
        <f t="shared" ref="R111:R117" si="41">IF(P$12=0,0,P111/P$12)</f>
        <v>0</v>
      </c>
      <c r="S111" s="1"/>
      <c r="T111" s="1">
        <f>SUM(OSRRefT22_6x_0)</f>
        <v>0</v>
      </c>
      <c r="U111" s="1"/>
      <c r="V111" s="5">
        <f t="shared" ref="V111:V117" si="42">IF(T$12=0,0,T111/T$12)</f>
        <v>0</v>
      </c>
      <c r="W111" s="1"/>
      <c r="X111" s="1">
        <f t="shared" ref="X111:X117" si="43">+P111-T111</f>
        <v>0</v>
      </c>
      <c r="Y111" s="1"/>
      <c r="Z111" s="5">
        <f t="shared" ref="Z111:Z117" si="44">IF(T111=0,0,X111/T111)</f>
        <v>0</v>
      </c>
    </row>
    <row r="112" spans="1:26" s="24" customFormat="1" hidden="1" outlineLevel="2" x14ac:dyDescent="0.25">
      <c r="A112" s="26"/>
      <c r="B112" s="11" t="str">
        <f>CONCATENATE("          ", "6395", " - ", "DONATION-OFF CAMPUS")</f>
        <v xml:space="preserve">          6395 - DONATION-OFF CAMPUS</v>
      </c>
      <c r="C112" s="11"/>
      <c r="D112" s="7"/>
      <c r="E112" s="2"/>
      <c r="F112" s="6">
        <f t="shared" si="37"/>
        <v>0</v>
      </c>
      <c r="G112" s="2"/>
      <c r="H112" s="7"/>
      <c r="I112" s="2"/>
      <c r="J112" s="6">
        <f t="shared" si="38"/>
        <v>0</v>
      </c>
      <c r="K112" s="2"/>
      <c r="L112" s="7">
        <f t="shared" si="39"/>
        <v>0</v>
      </c>
      <c r="M112" s="2"/>
      <c r="N112" s="6">
        <f t="shared" si="40"/>
        <v>0</v>
      </c>
      <c r="O112" s="11"/>
      <c r="P112" s="7"/>
      <c r="Q112" s="2"/>
      <c r="R112" s="6">
        <f t="shared" si="41"/>
        <v>0</v>
      </c>
      <c r="S112" s="2"/>
      <c r="T112" s="7">
        <v>0</v>
      </c>
      <c r="U112" s="2"/>
      <c r="V112" s="6">
        <f t="shared" si="42"/>
        <v>0</v>
      </c>
      <c r="W112" s="2"/>
      <c r="X112" s="7">
        <f t="shared" si="43"/>
        <v>0</v>
      </c>
      <c r="Y112" s="2"/>
      <c r="Z112" s="6">
        <f t="shared" si="44"/>
        <v>0</v>
      </c>
    </row>
    <row r="113" spans="1:26" s="25" customFormat="1" outlineLevel="1" collapsed="1" x14ac:dyDescent="0.25">
      <c r="A113" s="27"/>
      <c r="B113" s="13" t="str">
        <f>CONCATENATE("     ","Employees' Appreciation                           ")</f>
        <v xml:space="preserve">     Employees' Appreciation                           </v>
      </c>
      <c r="C113" s="13"/>
      <c r="D113" s="1">
        <f>SUM(OSRRefD22_7x_0)</f>
        <v>0</v>
      </c>
      <c r="E113" s="1"/>
      <c r="F113" s="5">
        <f t="shared" si="37"/>
        <v>0</v>
      </c>
      <c r="G113" s="1"/>
      <c r="H113" s="1">
        <f>SUM(OSRRefH22_7x_0)</f>
        <v>200</v>
      </c>
      <c r="I113" s="1"/>
      <c r="J113" s="5">
        <f t="shared" si="38"/>
        <v>5.1388781828926749E-4</v>
      </c>
      <c r="K113" s="1"/>
      <c r="L113" s="1">
        <f t="shared" si="39"/>
        <v>-200</v>
      </c>
      <c r="M113" s="1"/>
      <c r="N113" s="5">
        <f t="shared" si="40"/>
        <v>-1</v>
      </c>
      <c r="O113" s="13"/>
      <c r="P113" s="1">
        <f>SUM(OSRRefP22_7x_0)</f>
        <v>0</v>
      </c>
      <c r="Q113" s="1"/>
      <c r="R113" s="5">
        <f t="shared" si="41"/>
        <v>0</v>
      </c>
      <c r="S113" s="1"/>
      <c r="T113" s="1">
        <f>SUM(OSRRefT22_7x_0)</f>
        <v>2000</v>
      </c>
      <c r="U113" s="1"/>
      <c r="V113" s="5">
        <f t="shared" si="42"/>
        <v>6.0593078997923781E-4</v>
      </c>
      <c r="W113" s="1"/>
      <c r="X113" s="1">
        <f t="shared" si="43"/>
        <v>-2000</v>
      </c>
      <c r="Y113" s="1"/>
      <c r="Z113" s="5">
        <f t="shared" si="44"/>
        <v>-1</v>
      </c>
    </row>
    <row r="114" spans="1:26" s="24" customFormat="1" hidden="1" outlineLevel="2" x14ac:dyDescent="0.25">
      <c r="A114" s="26"/>
      <c r="B114" s="11" t="str">
        <f>CONCATENATE("          ", "6277", " - ", "EMPLOYEE APPRECIATION")</f>
        <v xml:space="preserve">          6277 - EMPLOYEE APPRECIATION</v>
      </c>
      <c r="C114" s="11"/>
      <c r="D114" s="7"/>
      <c r="E114" s="2"/>
      <c r="F114" s="6">
        <f t="shared" si="37"/>
        <v>0</v>
      </c>
      <c r="G114" s="2"/>
      <c r="H114" s="7">
        <v>200</v>
      </c>
      <c r="I114" s="2"/>
      <c r="J114" s="6">
        <f t="shared" si="38"/>
        <v>5.1388781828926749E-4</v>
      </c>
      <c r="K114" s="2"/>
      <c r="L114" s="7">
        <f t="shared" si="39"/>
        <v>-200</v>
      </c>
      <c r="M114" s="2"/>
      <c r="N114" s="6">
        <f t="shared" si="40"/>
        <v>-1</v>
      </c>
      <c r="O114" s="11"/>
      <c r="P114" s="7"/>
      <c r="Q114" s="2"/>
      <c r="R114" s="6">
        <f t="shared" si="41"/>
        <v>0</v>
      </c>
      <c r="S114" s="2"/>
      <c r="T114" s="7">
        <v>2000</v>
      </c>
      <c r="U114" s="2"/>
      <c r="V114" s="6">
        <f t="shared" si="42"/>
        <v>6.0593078997923781E-4</v>
      </c>
      <c r="W114" s="2"/>
      <c r="X114" s="7">
        <f t="shared" si="43"/>
        <v>-2000</v>
      </c>
      <c r="Y114" s="2"/>
      <c r="Z114" s="6">
        <f t="shared" si="44"/>
        <v>-1</v>
      </c>
    </row>
    <row r="115" spans="1:26" s="25" customFormat="1" outlineLevel="1" collapsed="1" x14ac:dyDescent="0.25">
      <c r="A115" s="27"/>
      <c r="B115" s="13" t="str">
        <f>CONCATENATE("     ","Freight out/Postage                               ")</f>
        <v xml:space="preserve">     Freight out/Postage                               </v>
      </c>
      <c r="C115" s="13"/>
      <c r="D115" s="1">
        <f>SUM(OSRRefD22_8x_0)</f>
        <v>40.200000000000003</v>
      </c>
      <c r="E115" s="1"/>
      <c r="F115" s="5">
        <f t="shared" si="37"/>
        <v>9.8261449420420001E-5</v>
      </c>
      <c r="G115" s="1"/>
      <c r="H115" s="1">
        <f>SUM(OSRRefH22_8x_0)</f>
        <v>10</v>
      </c>
      <c r="I115" s="1"/>
      <c r="J115" s="5">
        <f t="shared" si="38"/>
        <v>2.5694390914463372E-5</v>
      </c>
      <c r="K115" s="1"/>
      <c r="L115" s="1">
        <f t="shared" si="39"/>
        <v>30.200000000000003</v>
      </c>
      <c r="M115" s="1"/>
      <c r="N115" s="5">
        <f t="shared" si="40"/>
        <v>3.0200000000000005</v>
      </c>
      <c r="O115" s="13"/>
      <c r="P115" s="1">
        <f>SUM(OSRRefP22_8x_0)</f>
        <v>-175.89999999999998</v>
      </c>
      <c r="Q115" s="1"/>
      <c r="R115" s="5">
        <f t="shared" si="41"/>
        <v>-9.321706725539861E-5</v>
      </c>
      <c r="S115" s="1"/>
      <c r="T115" s="1">
        <f>SUM(OSRRefT22_8x_0)</f>
        <v>100</v>
      </c>
      <c r="U115" s="1"/>
      <c r="V115" s="5">
        <f t="shared" si="42"/>
        <v>3.0296539498961888E-5</v>
      </c>
      <c r="W115" s="1"/>
      <c r="X115" s="1">
        <f t="shared" si="43"/>
        <v>-275.89999999999998</v>
      </c>
      <c r="Y115" s="1"/>
      <c r="Z115" s="5">
        <f t="shared" si="44"/>
        <v>-2.7589999999999999</v>
      </c>
    </row>
    <row r="116" spans="1:26" s="24" customFormat="1" hidden="1" outlineLevel="2" x14ac:dyDescent="0.25">
      <c r="A116" s="26"/>
      <c r="B116" s="11" t="str">
        <f>CONCATENATE("          ", "6305", " - ", "FREIGHT OUT")</f>
        <v xml:space="preserve">          6305 - FREIGHT OUT</v>
      </c>
      <c r="C116" s="11"/>
      <c r="D116" s="7">
        <v>40.200000000000003</v>
      </c>
      <c r="E116" s="2"/>
      <c r="F116" s="6">
        <f t="shared" si="37"/>
        <v>9.8261449420420001E-5</v>
      </c>
      <c r="G116" s="2"/>
      <c r="H116" s="7"/>
      <c r="I116" s="2"/>
      <c r="J116" s="6">
        <f t="shared" si="38"/>
        <v>0</v>
      </c>
      <c r="K116" s="2"/>
      <c r="L116" s="7">
        <f t="shared" si="39"/>
        <v>40.200000000000003</v>
      </c>
      <c r="M116" s="2"/>
      <c r="N116" s="6">
        <f t="shared" si="40"/>
        <v>0</v>
      </c>
      <c r="O116" s="11"/>
      <c r="P116" s="7">
        <v>113.44</v>
      </c>
      <c r="Q116" s="2"/>
      <c r="R116" s="6">
        <f t="shared" si="41"/>
        <v>6.0116794254988173E-5</v>
      </c>
      <c r="S116" s="2"/>
      <c r="T116" s="7"/>
      <c r="U116" s="2"/>
      <c r="V116" s="6">
        <f t="shared" si="42"/>
        <v>0</v>
      </c>
      <c r="W116" s="2"/>
      <c r="X116" s="7">
        <f t="shared" si="43"/>
        <v>113.44</v>
      </c>
      <c r="Y116" s="2"/>
      <c r="Z116" s="6">
        <f t="shared" si="44"/>
        <v>0</v>
      </c>
    </row>
    <row r="117" spans="1:26" s="24" customFormat="1" hidden="1" outlineLevel="2" x14ac:dyDescent="0.25">
      <c r="A117" s="26"/>
      <c r="B117" s="11" t="str">
        <f>CONCATENATE("          ", "6307", " - ", "POSTAGE")</f>
        <v xml:space="preserve">          6307 - POSTAGE</v>
      </c>
      <c r="C117" s="11"/>
      <c r="D117" s="7"/>
      <c r="E117" s="2"/>
      <c r="F117" s="6">
        <f t="shared" si="37"/>
        <v>0</v>
      </c>
      <c r="G117" s="2"/>
      <c r="H117" s="7">
        <v>10</v>
      </c>
      <c r="I117" s="2"/>
      <c r="J117" s="6">
        <f t="shared" si="38"/>
        <v>2.5694390914463372E-5</v>
      </c>
      <c r="K117" s="2"/>
      <c r="L117" s="7">
        <f t="shared" si="39"/>
        <v>-10</v>
      </c>
      <c r="M117" s="2"/>
      <c r="N117" s="6">
        <f t="shared" si="40"/>
        <v>-1</v>
      </c>
      <c r="O117" s="11"/>
      <c r="P117" s="7">
        <v>-289.33999999999997</v>
      </c>
      <c r="Q117" s="2"/>
      <c r="R117" s="6">
        <f t="shared" si="41"/>
        <v>-1.5333386151038678E-4</v>
      </c>
      <c r="S117" s="2"/>
      <c r="T117" s="7">
        <v>100</v>
      </c>
      <c r="U117" s="2"/>
      <c r="V117" s="6">
        <f t="shared" si="42"/>
        <v>3.0296539498961888E-5</v>
      </c>
      <c r="W117" s="2"/>
      <c r="X117" s="7">
        <f t="shared" si="43"/>
        <v>-389.34</v>
      </c>
      <c r="Y117" s="2"/>
      <c r="Z117" s="6">
        <f t="shared" si="44"/>
        <v>-3.8933999999999997</v>
      </c>
    </row>
    <row r="118" spans="1:26" s="25" customFormat="1" outlineLevel="1" collapsed="1" x14ac:dyDescent="0.25">
      <c r="A118" s="27"/>
      <c r="B118" s="13" t="str">
        <f>CONCATENATE("     ","General                                           ")</f>
        <v xml:space="preserve">     General                                           </v>
      </c>
      <c r="C118" s="13"/>
      <c r="D118" s="1">
        <f>SUM(OSRRefD22_9x_0)</f>
        <v>94.83</v>
      </c>
      <c r="E118" s="1"/>
      <c r="F118" s="5">
        <f t="shared" ref="F118:F120" si="45">IF(D$12=0,0,D118/D$12)</f>
        <v>2.317943594163788E-4</v>
      </c>
      <c r="G118" s="1"/>
      <c r="H118" s="1">
        <f>SUM(OSRRefH22_9x_0)</f>
        <v>250</v>
      </c>
      <c r="I118" s="1"/>
      <c r="J118" s="5">
        <f t="shared" ref="J118:J120" si="46">IF(H$12=0,0,H118/H$12)</f>
        <v>6.4235977286158431E-4</v>
      </c>
      <c r="K118" s="1"/>
      <c r="L118" s="1">
        <f t="shared" ref="L118:L120" si="47">+D118-H118</f>
        <v>-155.17000000000002</v>
      </c>
      <c r="M118" s="1"/>
      <c r="N118" s="5">
        <f t="shared" ref="N118:N120" si="48">IF(H118=0,0,L118/H118)</f>
        <v>-0.62068000000000001</v>
      </c>
      <c r="O118" s="13"/>
      <c r="P118" s="1">
        <f>SUM(OSRRefP22_9x_0)</f>
        <v>1380.29</v>
      </c>
      <c r="Q118" s="1"/>
      <c r="R118" s="5">
        <f t="shared" ref="R118:R120" si="49">IF(P$12=0,0,P118/P$12)</f>
        <v>7.3147575760064898E-4</v>
      </c>
      <c r="S118" s="1"/>
      <c r="T118" s="1">
        <f>SUM(OSRRefT22_9x_0)</f>
        <v>2500</v>
      </c>
      <c r="U118" s="1"/>
      <c r="V118" s="5">
        <f t="shared" ref="V118:V120" si="50">IF(T$12=0,0,T118/T$12)</f>
        <v>7.5741348747404721E-4</v>
      </c>
      <c r="W118" s="1"/>
      <c r="X118" s="1">
        <f t="shared" ref="X118:X120" si="51">+P118-T118</f>
        <v>-1119.71</v>
      </c>
      <c r="Y118" s="1"/>
      <c r="Z118" s="5">
        <f t="shared" ref="Z118:Z120" si="52">IF(T118=0,0,X118/T118)</f>
        <v>-0.447884</v>
      </c>
    </row>
    <row r="119" spans="1:26" s="24" customFormat="1" hidden="1" outlineLevel="2" x14ac:dyDescent="0.25">
      <c r="A119" s="26"/>
      <c r="B119" s="11" t="str">
        <f>CONCATENATE("          ", "6276", " - ", "PROPERTY TAX")</f>
        <v xml:space="preserve">          6276 - PROPERTY TAX</v>
      </c>
      <c r="C119" s="11"/>
      <c r="D119" s="7"/>
      <c r="E119" s="2"/>
      <c r="F119" s="6">
        <f t="shared" si="45"/>
        <v>0</v>
      </c>
      <c r="G119" s="2"/>
      <c r="H119" s="7"/>
      <c r="I119" s="2"/>
      <c r="J119" s="6">
        <f t="shared" si="46"/>
        <v>0</v>
      </c>
      <c r="K119" s="2"/>
      <c r="L119" s="7">
        <f t="shared" si="47"/>
        <v>0</v>
      </c>
      <c r="M119" s="2"/>
      <c r="N119" s="6">
        <f t="shared" si="48"/>
        <v>0</v>
      </c>
      <c r="O119" s="11"/>
      <c r="P119" s="7"/>
      <c r="Q119" s="2"/>
      <c r="R119" s="6">
        <f t="shared" si="49"/>
        <v>0</v>
      </c>
      <c r="S119" s="2"/>
      <c r="T119" s="7">
        <v>150</v>
      </c>
      <c r="U119" s="2"/>
      <c r="V119" s="6">
        <f t="shared" si="50"/>
        <v>4.5444809248442834E-5</v>
      </c>
      <c r="W119" s="2"/>
      <c r="X119" s="7">
        <f t="shared" si="51"/>
        <v>-150</v>
      </c>
      <c r="Y119" s="2"/>
      <c r="Z119" s="6">
        <f t="shared" si="52"/>
        <v>-1</v>
      </c>
    </row>
    <row r="120" spans="1:26" s="24" customFormat="1" hidden="1" outlineLevel="2" x14ac:dyDescent="0.25">
      <c r="A120" s="26"/>
      <c r="B120" s="11" t="str">
        <f>CONCATENATE("          ", "6279", " - ", "GENERAL EXPENSE")</f>
        <v xml:space="preserve">          6279 - GENERAL EXPENSE</v>
      </c>
      <c r="C120" s="11"/>
      <c r="D120" s="7">
        <v>94.83</v>
      </c>
      <c r="E120" s="2"/>
      <c r="F120" s="6">
        <f t="shared" si="45"/>
        <v>2.317943594163788E-4</v>
      </c>
      <c r="G120" s="2"/>
      <c r="H120" s="7">
        <v>250</v>
      </c>
      <c r="I120" s="2"/>
      <c r="J120" s="6">
        <f t="shared" si="46"/>
        <v>6.4235977286158431E-4</v>
      </c>
      <c r="K120" s="2"/>
      <c r="L120" s="7">
        <f t="shared" si="47"/>
        <v>-155.17000000000002</v>
      </c>
      <c r="M120" s="2"/>
      <c r="N120" s="6">
        <f t="shared" si="48"/>
        <v>-0.62068000000000001</v>
      </c>
      <c r="O120" s="11"/>
      <c r="P120" s="7">
        <v>1380.29</v>
      </c>
      <c r="Q120" s="2"/>
      <c r="R120" s="6">
        <f t="shared" si="49"/>
        <v>7.3147575760064898E-4</v>
      </c>
      <c r="S120" s="2"/>
      <c r="T120" s="7">
        <v>2350</v>
      </c>
      <c r="U120" s="2"/>
      <c r="V120" s="6">
        <f t="shared" si="50"/>
        <v>7.1196867822560436E-4</v>
      </c>
      <c r="W120" s="2"/>
      <c r="X120" s="7">
        <f t="shared" si="51"/>
        <v>-969.71</v>
      </c>
      <c r="Y120" s="2"/>
      <c r="Z120" s="6">
        <f t="shared" si="52"/>
        <v>-0.4126425531914894</v>
      </c>
    </row>
    <row r="121" spans="1:26" s="25" customFormat="1" outlineLevel="1" collapsed="1" x14ac:dyDescent="0.25">
      <c r="A121" s="27"/>
      <c r="B121" s="13" t="str">
        <f>CONCATENATE("     ","Insurance                                         ")</f>
        <v xml:space="preserve">     Insurance                                         </v>
      </c>
      <c r="C121" s="13"/>
      <c r="D121" s="1">
        <f>SUM(OSRRefD22_10x_0)</f>
        <v>161.18</v>
      </c>
      <c r="E121" s="1"/>
      <c r="F121" s="5">
        <f t="shared" ref="F121:F125" si="53">IF(D$12=0,0,D121/D$12)</f>
        <v>3.9397463725331582E-4</v>
      </c>
      <c r="G121" s="1"/>
      <c r="H121" s="1">
        <f>SUM(OSRRefH22_10x_0)</f>
        <v>176</v>
      </c>
      <c r="I121" s="1"/>
      <c r="J121" s="5">
        <f t="shared" ref="J121:J125" si="54">IF(H$12=0,0,H121/H$12)</f>
        <v>4.5222128009455534E-4</v>
      </c>
      <c r="K121" s="1"/>
      <c r="L121" s="1">
        <f t="shared" ref="L121:L125" si="55">+D121-H121</f>
        <v>-14.819999999999993</v>
      </c>
      <c r="M121" s="1"/>
      <c r="N121" s="5">
        <f t="shared" ref="N121:N125" si="56">IF(H121=0,0,L121/H121)</f>
        <v>-8.4204545454545421E-2</v>
      </c>
      <c r="O121" s="13"/>
      <c r="P121" s="1">
        <f>SUM(OSRRefP22_10x_0)</f>
        <v>1611.8</v>
      </c>
      <c r="Q121" s="1"/>
      <c r="R121" s="5">
        <f t="shared" ref="R121:R125" si="57">IF(P$12=0,0,P121/P$12)</f>
        <v>8.5416298466316936E-4</v>
      </c>
      <c r="S121" s="1"/>
      <c r="T121" s="1">
        <f>SUM(OSRRefT22_10x_0)</f>
        <v>1760</v>
      </c>
      <c r="U121" s="1"/>
      <c r="V121" s="5">
        <f t="shared" ref="V121:V125" si="58">IF(T$12=0,0,T121/T$12)</f>
        <v>5.3321909518172928E-4</v>
      </c>
      <c r="W121" s="1"/>
      <c r="X121" s="1">
        <f t="shared" ref="X121:X125" si="59">+P121-T121</f>
        <v>-148.20000000000005</v>
      </c>
      <c r="Y121" s="1"/>
      <c r="Z121" s="5">
        <f t="shared" ref="Z121:Z125" si="60">IF(T121=0,0,X121/T121)</f>
        <v>-8.4204545454545476E-2</v>
      </c>
    </row>
    <row r="122" spans="1:26" s="24" customFormat="1" hidden="1" outlineLevel="2" x14ac:dyDescent="0.25">
      <c r="A122" s="26"/>
      <c r="B122" s="11" t="str">
        <f>CONCATENATE("          ", "6314", " - ", "LIABILITY INSURANCE")</f>
        <v xml:space="preserve">          6314 - LIABILITY INSURANCE</v>
      </c>
      <c r="C122" s="11"/>
      <c r="D122" s="7">
        <v>161.18</v>
      </c>
      <c r="E122" s="2"/>
      <c r="F122" s="6">
        <f t="shared" si="53"/>
        <v>3.9397463725331582E-4</v>
      </c>
      <c r="G122" s="2"/>
      <c r="H122" s="7">
        <v>176</v>
      </c>
      <c r="I122" s="2"/>
      <c r="J122" s="6">
        <f t="shared" si="54"/>
        <v>4.5222128009455534E-4</v>
      </c>
      <c r="K122" s="2"/>
      <c r="L122" s="7">
        <f t="shared" si="55"/>
        <v>-14.819999999999993</v>
      </c>
      <c r="M122" s="2"/>
      <c r="N122" s="6">
        <f t="shared" si="56"/>
        <v>-8.4204545454545421E-2</v>
      </c>
      <c r="O122" s="11"/>
      <c r="P122" s="7">
        <v>1611.8</v>
      </c>
      <c r="Q122" s="2"/>
      <c r="R122" s="6">
        <f t="shared" si="57"/>
        <v>8.5416298466316936E-4</v>
      </c>
      <c r="S122" s="2"/>
      <c r="T122" s="7">
        <v>1760</v>
      </c>
      <c r="U122" s="2"/>
      <c r="V122" s="6">
        <f t="shared" si="58"/>
        <v>5.3321909518172928E-4</v>
      </c>
      <c r="W122" s="2"/>
      <c r="X122" s="7">
        <f t="shared" si="59"/>
        <v>-148.20000000000005</v>
      </c>
      <c r="Y122" s="2"/>
      <c r="Z122" s="6">
        <f t="shared" si="60"/>
        <v>-8.4204545454545476E-2</v>
      </c>
    </row>
    <row r="123" spans="1:26" s="25" customFormat="1" outlineLevel="1" collapsed="1" x14ac:dyDescent="0.25">
      <c r="A123" s="27"/>
      <c r="B123" s="13" t="str">
        <f>CONCATENATE("     ","Inventory Adjustment                              ")</f>
        <v xml:space="preserve">     Inventory Adjustment                              </v>
      </c>
      <c r="C123" s="13"/>
      <c r="D123" s="1">
        <f>SUM(OSRRefD22_11x_0)</f>
        <v>1100</v>
      </c>
      <c r="E123" s="1"/>
      <c r="F123" s="5">
        <f t="shared" si="53"/>
        <v>2.6887461284194527E-3</v>
      </c>
      <c r="G123" s="1"/>
      <c r="H123" s="1">
        <f>SUM(OSRRefH22_11x_0)</f>
        <v>1100</v>
      </c>
      <c r="I123" s="1"/>
      <c r="J123" s="5">
        <f t="shared" si="54"/>
        <v>2.8263830005909709E-3</v>
      </c>
      <c r="K123" s="1"/>
      <c r="L123" s="1">
        <f t="shared" si="55"/>
        <v>0</v>
      </c>
      <c r="M123" s="1"/>
      <c r="N123" s="5">
        <f t="shared" si="56"/>
        <v>0</v>
      </c>
      <c r="O123" s="13"/>
      <c r="P123" s="1">
        <f>SUM(OSRRefP22_11x_0)</f>
        <v>11000</v>
      </c>
      <c r="Q123" s="1"/>
      <c r="R123" s="5">
        <f t="shared" si="57"/>
        <v>5.8293788505365826E-3</v>
      </c>
      <c r="S123" s="1"/>
      <c r="T123" s="1">
        <f>SUM(OSRRefT22_11x_0)</f>
        <v>11000</v>
      </c>
      <c r="U123" s="1"/>
      <c r="V123" s="5">
        <f t="shared" si="58"/>
        <v>3.3326193448858076E-3</v>
      </c>
      <c r="W123" s="1"/>
      <c r="X123" s="1">
        <f t="shared" si="59"/>
        <v>0</v>
      </c>
      <c r="Y123" s="1"/>
      <c r="Z123" s="5">
        <f t="shared" si="60"/>
        <v>0</v>
      </c>
    </row>
    <row r="124" spans="1:26" s="24" customFormat="1" hidden="1" outlineLevel="2" x14ac:dyDescent="0.25">
      <c r="A124" s="26"/>
      <c r="B124" s="11" t="str">
        <f>CONCATENATE("          ", "6408", " - ", "INVENTORY ADJUSTMENT")</f>
        <v xml:space="preserve">          6408 - INVENTORY ADJUSTMENT</v>
      </c>
      <c r="C124" s="11"/>
      <c r="D124" s="7">
        <v>1100</v>
      </c>
      <c r="E124" s="2"/>
      <c r="F124" s="6">
        <f t="shared" si="53"/>
        <v>2.6887461284194527E-3</v>
      </c>
      <c r="G124" s="2"/>
      <c r="H124" s="7">
        <v>1100</v>
      </c>
      <c r="I124" s="2"/>
      <c r="J124" s="6">
        <f t="shared" si="54"/>
        <v>2.8263830005909709E-3</v>
      </c>
      <c r="K124" s="2"/>
      <c r="L124" s="7">
        <f t="shared" si="55"/>
        <v>0</v>
      </c>
      <c r="M124" s="2"/>
      <c r="N124" s="6">
        <f t="shared" si="56"/>
        <v>0</v>
      </c>
      <c r="O124" s="11"/>
      <c r="P124" s="7">
        <v>11000</v>
      </c>
      <c r="Q124" s="2"/>
      <c r="R124" s="6">
        <f t="shared" si="57"/>
        <v>5.8293788505365826E-3</v>
      </c>
      <c r="S124" s="2"/>
      <c r="T124" s="7">
        <v>11000</v>
      </c>
      <c r="U124" s="2"/>
      <c r="V124" s="6">
        <f t="shared" si="58"/>
        <v>3.3326193448858076E-3</v>
      </c>
      <c r="W124" s="2"/>
      <c r="X124" s="7">
        <f t="shared" si="59"/>
        <v>0</v>
      </c>
      <c r="Y124" s="2"/>
      <c r="Z124" s="6">
        <f t="shared" si="60"/>
        <v>0</v>
      </c>
    </row>
    <row r="125" spans="1:26" s="24" customFormat="1" hidden="1" outlineLevel="2" x14ac:dyDescent="0.25">
      <c r="A125" s="26"/>
      <c r="B125" s="11" t="str">
        <f>CONCATENATE("          ", "7741", " - ", "INV. SHRINKAGE-LOGO GIFTS")</f>
        <v xml:space="preserve">          7741 - INV. SHRINKAGE-LOGO GIFTS</v>
      </c>
      <c r="C125" s="11"/>
      <c r="D125" s="7"/>
      <c r="E125" s="2"/>
      <c r="F125" s="6">
        <f t="shared" si="53"/>
        <v>0</v>
      </c>
      <c r="G125" s="2"/>
      <c r="H125" s="7"/>
      <c r="I125" s="2"/>
      <c r="J125" s="6">
        <f t="shared" si="54"/>
        <v>0</v>
      </c>
      <c r="K125" s="2"/>
      <c r="L125" s="7">
        <f t="shared" si="55"/>
        <v>0</v>
      </c>
      <c r="M125" s="2"/>
      <c r="N125" s="6">
        <f t="shared" si="56"/>
        <v>0</v>
      </c>
      <c r="O125" s="11"/>
      <c r="P125" s="7">
        <v>0</v>
      </c>
      <c r="Q125" s="2"/>
      <c r="R125" s="6">
        <f t="shared" si="57"/>
        <v>0</v>
      </c>
      <c r="S125" s="2"/>
      <c r="T125" s="7"/>
      <c r="U125" s="2"/>
      <c r="V125" s="6">
        <f t="shared" si="58"/>
        <v>0</v>
      </c>
      <c r="W125" s="2"/>
      <c r="X125" s="7">
        <f t="shared" si="59"/>
        <v>0</v>
      </c>
      <c r="Y125" s="2"/>
      <c r="Z125" s="6">
        <f t="shared" si="60"/>
        <v>0</v>
      </c>
    </row>
    <row r="126" spans="1:26" s="25" customFormat="1" outlineLevel="1" collapsed="1" x14ac:dyDescent="0.25">
      <c r="A126" s="27"/>
      <c r="B126" s="13" t="str">
        <f>CONCATENATE("     ","Professional Services                             ")</f>
        <v xml:space="preserve">     Professional Services                             </v>
      </c>
      <c r="C126" s="13"/>
      <c r="D126" s="1">
        <f>SUM(OSRRefD22_12x_0)</f>
        <v>0</v>
      </c>
      <c r="E126" s="1"/>
      <c r="F126" s="5">
        <f t="shared" ref="F126:F133" si="61">IF(D$12=0,0,D126/D$12)</f>
        <v>0</v>
      </c>
      <c r="G126" s="1"/>
      <c r="H126" s="1">
        <f>SUM(OSRRefH22_12x_0)</f>
        <v>250</v>
      </c>
      <c r="I126" s="1"/>
      <c r="J126" s="5">
        <f t="shared" ref="J126:J133" si="62">IF(H$12=0,0,H126/H$12)</f>
        <v>6.4235977286158431E-4</v>
      </c>
      <c r="K126" s="1"/>
      <c r="L126" s="1">
        <f t="shared" ref="L126:L133" si="63">+D126-H126</f>
        <v>-250</v>
      </c>
      <c r="M126" s="1"/>
      <c r="N126" s="5">
        <f t="shared" ref="N126:N133" si="64">IF(H126=0,0,L126/H126)</f>
        <v>-1</v>
      </c>
      <c r="O126" s="13"/>
      <c r="P126" s="1">
        <f>SUM(OSRRefP22_12x_0)</f>
        <v>0</v>
      </c>
      <c r="Q126" s="1"/>
      <c r="R126" s="5">
        <f t="shared" ref="R126:R133" si="65">IF(P$12=0,0,P126/P$12)</f>
        <v>0</v>
      </c>
      <c r="S126" s="1"/>
      <c r="T126" s="1">
        <f>SUM(OSRRefT22_12x_0)</f>
        <v>6500</v>
      </c>
      <c r="U126" s="1"/>
      <c r="V126" s="5">
        <f t="shared" ref="V126:V133" si="66">IF(T$12=0,0,T126/T$12)</f>
        <v>1.9692750674325226E-3</v>
      </c>
      <c r="W126" s="1"/>
      <c r="X126" s="1">
        <f t="shared" ref="X126:X133" si="67">+P126-T126</f>
        <v>-6500</v>
      </c>
      <c r="Y126" s="1"/>
      <c r="Z126" s="5">
        <f t="shared" ref="Z126:Z133" si="68">IF(T126=0,0,X126/T126)</f>
        <v>-1</v>
      </c>
    </row>
    <row r="127" spans="1:26" s="24" customFormat="1" hidden="1" outlineLevel="2" x14ac:dyDescent="0.25">
      <c r="A127" s="26"/>
      <c r="B127" s="11" t="str">
        <f>CONCATENATE("          ", "6336", " - ", "PROFESSIONAL SERVICES")</f>
        <v xml:space="preserve">          6336 - PROFESSIONAL SERVICES</v>
      </c>
      <c r="C127" s="11"/>
      <c r="D127" s="7"/>
      <c r="E127" s="2"/>
      <c r="F127" s="6">
        <f t="shared" si="61"/>
        <v>0</v>
      </c>
      <c r="G127" s="2"/>
      <c r="H127" s="7">
        <v>250</v>
      </c>
      <c r="I127" s="2"/>
      <c r="J127" s="6">
        <f t="shared" si="62"/>
        <v>6.4235977286158431E-4</v>
      </c>
      <c r="K127" s="2"/>
      <c r="L127" s="7">
        <f t="shared" si="63"/>
        <v>-250</v>
      </c>
      <c r="M127" s="2"/>
      <c r="N127" s="6">
        <f t="shared" si="64"/>
        <v>-1</v>
      </c>
      <c r="O127" s="11"/>
      <c r="P127" s="7"/>
      <c r="Q127" s="2"/>
      <c r="R127" s="6">
        <f t="shared" si="65"/>
        <v>0</v>
      </c>
      <c r="S127" s="2"/>
      <c r="T127" s="7">
        <v>6500</v>
      </c>
      <c r="U127" s="2"/>
      <c r="V127" s="6">
        <f t="shared" si="66"/>
        <v>1.9692750674325226E-3</v>
      </c>
      <c r="W127" s="2"/>
      <c r="X127" s="7">
        <f t="shared" si="67"/>
        <v>-6500</v>
      </c>
      <c r="Y127" s="2"/>
      <c r="Z127" s="6">
        <f t="shared" si="68"/>
        <v>-1</v>
      </c>
    </row>
    <row r="128" spans="1:26" s="25" customFormat="1" outlineLevel="1" collapsed="1" x14ac:dyDescent="0.25">
      <c r="A128" s="27"/>
      <c r="B128" s="13" t="str">
        <f>CONCATENATE("     ","Rent                                              ")</f>
        <v xml:space="preserve">     Rent                                              </v>
      </c>
      <c r="C128" s="13"/>
      <c r="D128" s="1">
        <f>SUM(OSRRefD22_13x_0)</f>
        <v>6900</v>
      </c>
      <c r="E128" s="1"/>
      <c r="F128" s="5">
        <f t="shared" si="61"/>
        <v>1.6865771169176567E-2</v>
      </c>
      <c r="G128" s="1"/>
      <c r="H128" s="1">
        <f>SUM(OSRRefH22_13x_0)</f>
        <v>6900</v>
      </c>
      <c r="I128" s="1"/>
      <c r="J128" s="5">
        <f t="shared" si="62"/>
        <v>1.7729129730979728E-2</v>
      </c>
      <c r="K128" s="1"/>
      <c r="L128" s="1">
        <f t="shared" si="63"/>
        <v>0</v>
      </c>
      <c r="M128" s="1"/>
      <c r="N128" s="5">
        <f t="shared" si="64"/>
        <v>0</v>
      </c>
      <c r="O128" s="13"/>
      <c r="P128" s="1">
        <f>SUM(OSRRefP22_13x_0)</f>
        <v>69000</v>
      </c>
      <c r="Q128" s="1"/>
      <c r="R128" s="5">
        <f t="shared" si="65"/>
        <v>3.6566103698820379E-2</v>
      </c>
      <c r="S128" s="1"/>
      <c r="T128" s="1">
        <f>SUM(OSRRefT22_13x_0)</f>
        <v>69001</v>
      </c>
      <c r="U128" s="1"/>
      <c r="V128" s="5">
        <f t="shared" si="66"/>
        <v>2.0904915219678692E-2</v>
      </c>
      <c r="W128" s="1"/>
      <c r="X128" s="1">
        <f t="shared" si="67"/>
        <v>-1</v>
      </c>
      <c r="Y128" s="1"/>
      <c r="Z128" s="5">
        <f t="shared" si="68"/>
        <v>-1.4492543586324836E-5</v>
      </c>
    </row>
    <row r="129" spans="1:26" s="24" customFormat="1" hidden="1" outlineLevel="2" x14ac:dyDescent="0.25">
      <c r="A129" s="26"/>
      <c r="B129" s="11" t="str">
        <f>CONCATENATE("          ", "6273", " - ", "RENT")</f>
        <v xml:space="preserve">          6273 - RENT</v>
      </c>
      <c r="C129" s="11"/>
      <c r="D129" s="7">
        <v>6900</v>
      </c>
      <c r="E129" s="2"/>
      <c r="F129" s="6">
        <f t="shared" si="61"/>
        <v>1.6865771169176567E-2</v>
      </c>
      <c r="G129" s="2"/>
      <c r="H129" s="7">
        <v>6900</v>
      </c>
      <c r="I129" s="2"/>
      <c r="J129" s="6">
        <f t="shared" si="62"/>
        <v>1.7729129730979728E-2</v>
      </c>
      <c r="K129" s="2"/>
      <c r="L129" s="7">
        <f t="shared" si="63"/>
        <v>0</v>
      </c>
      <c r="M129" s="2"/>
      <c r="N129" s="6">
        <f t="shared" si="64"/>
        <v>0</v>
      </c>
      <c r="O129" s="11"/>
      <c r="P129" s="7">
        <v>69000</v>
      </c>
      <c r="Q129" s="2"/>
      <c r="R129" s="6">
        <f t="shared" si="65"/>
        <v>3.6566103698820379E-2</v>
      </c>
      <c r="S129" s="2"/>
      <c r="T129" s="7">
        <v>69001</v>
      </c>
      <c r="U129" s="2"/>
      <c r="V129" s="6">
        <f t="shared" si="66"/>
        <v>2.0904915219678692E-2</v>
      </c>
      <c r="W129" s="2"/>
      <c r="X129" s="7">
        <f t="shared" si="67"/>
        <v>-1</v>
      </c>
      <c r="Y129" s="2"/>
      <c r="Z129" s="6">
        <f t="shared" si="68"/>
        <v>-1.4492543586324836E-5</v>
      </c>
    </row>
    <row r="130" spans="1:26" s="25" customFormat="1" outlineLevel="1" collapsed="1" x14ac:dyDescent="0.25">
      <c r="A130" s="27"/>
      <c r="B130" s="13" t="str">
        <f>CONCATENATE("     ","Repair and Maintenance                            ")</f>
        <v xml:space="preserve">     Repair and Maintenance                            </v>
      </c>
      <c r="C130" s="13"/>
      <c r="D130" s="1">
        <f>SUM(OSRRefD22_14x_0)</f>
        <v>0</v>
      </c>
      <c r="E130" s="1"/>
      <c r="F130" s="5">
        <f t="shared" si="61"/>
        <v>0</v>
      </c>
      <c r="G130" s="1"/>
      <c r="H130" s="1">
        <f>SUM(OSRRefH22_14x_0)</f>
        <v>200</v>
      </c>
      <c r="I130" s="1"/>
      <c r="J130" s="5">
        <f t="shared" si="62"/>
        <v>5.1388781828926749E-4</v>
      </c>
      <c r="K130" s="1"/>
      <c r="L130" s="1">
        <f t="shared" si="63"/>
        <v>-200</v>
      </c>
      <c r="M130" s="1"/>
      <c r="N130" s="5">
        <f t="shared" si="64"/>
        <v>-1</v>
      </c>
      <c r="O130" s="13"/>
      <c r="P130" s="1">
        <f>SUM(OSRRefP22_14x_0)</f>
        <v>309.70999999999998</v>
      </c>
      <c r="Q130" s="1"/>
      <c r="R130" s="5">
        <f t="shared" si="65"/>
        <v>1.6412881125451681E-4</v>
      </c>
      <c r="S130" s="1"/>
      <c r="T130" s="1">
        <f>SUM(OSRRefT22_14x_0)</f>
        <v>2350</v>
      </c>
      <c r="U130" s="1"/>
      <c r="V130" s="5">
        <f t="shared" si="66"/>
        <v>7.1196867822560436E-4</v>
      </c>
      <c r="W130" s="1"/>
      <c r="X130" s="1">
        <f t="shared" si="67"/>
        <v>-2040.29</v>
      </c>
      <c r="Y130" s="1"/>
      <c r="Z130" s="5">
        <f t="shared" si="68"/>
        <v>-0.86820851063829785</v>
      </c>
    </row>
    <row r="131" spans="1:26" s="24" customFormat="1" hidden="1" outlineLevel="2" x14ac:dyDescent="0.25">
      <c r="A131" s="26"/>
      <c r="B131" s="11" t="str">
        <f>CONCATENATE("          ", "6372", " - ", "COMPUTER HARDWARE MAINTENANCE")</f>
        <v xml:space="preserve">          6372 - COMPUTER HARDWARE MAINTENANCE</v>
      </c>
      <c r="C131" s="11"/>
      <c r="D131" s="7"/>
      <c r="E131" s="2"/>
      <c r="F131" s="6">
        <f t="shared" si="61"/>
        <v>0</v>
      </c>
      <c r="G131" s="2"/>
      <c r="H131" s="7"/>
      <c r="I131" s="2"/>
      <c r="J131" s="6">
        <f t="shared" si="62"/>
        <v>0</v>
      </c>
      <c r="K131" s="2"/>
      <c r="L131" s="7">
        <f t="shared" si="63"/>
        <v>0</v>
      </c>
      <c r="M131" s="2"/>
      <c r="N131" s="6">
        <f t="shared" si="64"/>
        <v>0</v>
      </c>
      <c r="O131" s="11"/>
      <c r="P131" s="7">
        <v>-0.52</v>
      </c>
      <c r="Q131" s="2"/>
      <c r="R131" s="6">
        <f t="shared" si="65"/>
        <v>-2.7557063657082027E-7</v>
      </c>
      <c r="S131" s="2"/>
      <c r="T131" s="7"/>
      <c r="U131" s="2"/>
      <c r="V131" s="6">
        <f t="shared" si="66"/>
        <v>0</v>
      </c>
      <c r="W131" s="2"/>
      <c r="X131" s="7">
        <f t="shared" si="67"/>
        <v>-0.52</v>
      </c>
      <c r="Y131" s="2"/>
      <c r="Z131" s="6">
        <f t="shared" si="68"/>
        <v>0</v>
      </c>
    </row>
    <row r="132" spans="1:26" s="24" customFormat="1" hidden="1" outlineLevel="2" x14ac:dyDescent="0.25">
      <c r="A132" s="26"/>
      <c r="B132" s="11" t="str">
        <f>CONCATENATE("          ", "6373", " - ", "MAINTENANCE CONTRACTS")</f>
        <v xml:space="preserve">          6373 - MAINTENANCE CONTRACTS</v>
      </c>
      <c r="C132" s="11"/>
      <c r="D132" s="7"/>
      <c r="E132" s="2"/>
      <c r="F132" s="6">
        <f t="shared" si="61"/>
        <v>0</v>
      </c>
      <c r="G132" s="2"/>
      <c r="H132" s="7"/>
      <c r="I132" s="2"/>
      <c r="J132" s="6">
        <f t="shared" si="62"/>
        <v>0</v>
      </c>
      <c r="K132" s="2"/>
      <c r="L132" s="7">
        <f t="shared" si="63"/>
        <v>0</v>
      </c>
      <c r="M132" s="2"/>
      <c r="N132" s="6">
        <f t="shared" si="64"/>
        <v>0</v>
      </c>
      <c r="O132" s="11"/>
      <c r="P132" s="7">
        <v>144.66999999999999</v>
      </c>
      <c r="Q132" s="2"/>
      <c r="R132" s="6">
        <f t="shared" si="65"/>
        <v>7.6666930755193391E-5</v>
      </c>
      <c r="S132" s="2"/>
      <c r="T132" s="7"/>
      <c r="U132" s="2"/>
      <c r="V132" s="6">
        <f t="shared" si="66"/>
        <v>0</v>
      </c>
      <c r="W132" s="2"/>
      <c r="X132" s="7">
        <f t="shared" si="67"/>
        <v>144.66999999999999</v>
      </c>
      <c r="Y132" s="2"/>
      <c r="Z132" s="6">
        <f t="shared" si="68"/>
        <v>0</v>
      </c>
    </row>
    <row r="133" spans="1:26" s="24" customFormat="1" hidden="1" outlineLevel="2" x14ac:dyDescent="0.25">
      <c r="A133" s="26"/>
      <c r="B133" s="11" t="str">
        <f>CONCATENATE("          ", "6375", " - ", "OUTSIDE REPAIRS &amp; MAINTENANCE")</f>
        <v xml:space="preserve">          6375 - OUTSIDE REPAIRS &amp; MAINTENANCE</v>
      </c>
      <c r="C133" s="11"/>
      <c r="D133" s="7"/>
      <c r="E133" s="2"/>
      <c r="F133" s="6">
        <f t="shared" si="61"/>
        <v>0</v>
      </c>
      <c r="G133" s="2"/>
      <c r="H133" s="7">
        <v>200</v>
      </c>
      <c r="I133" s="2"/>
      <c r="J133" s="6">
        <f t="shared" si="62"/>
        <v>5.1388781828926749E-4</v>
      </c>
      <c r="K133" s="2"/>
      <c r="L133" s="7">
        <f t="shared" si="63"/>
        <v>-200</v>
      </c>
      <c r="M133" s="2"/>
      <c r="N133" s="6">
        <f t="shared" si="64"/>
        <v>-1</v>
      </c>
      <c r="O133" s="11"/>
      <c r="P133" s="7">
        <v>165.56</v>
      </c>
      <c r="Q133" s="2"/>
      <c r="R133" s="6">
        <f t="shared" si="65"/>
        <v>8.7737451135894243E-5</v>
      </c>
      <c r="S133" s="2"/>
      <c r="T133" s="7">
        <v>2350</v>
      </c>
      <c r="U133" s="2"/>
      <c r="V133" s="6">
        <f t="shared" si="66"/>
        <v>7.1196867822560436E-4</v>
      </c>
      <c r="W133" s="2"/>
      <c r="X133" s="7">
        <f t="shared" si="67"/>
        <v>-2184.44</v>
      </c>
      <c r="Y133" s="2"/>
      <c r="Z133" s="6">
        <f t="shared" si="68"/>
        <v>-0.92954893617021284</v>
      </c>
    </row>
    <row r="134" spans="1:26" s="25" customFormat="1" outlineLevel="1" collapsed="1" x14ac:dyDescent="0.25">
      <c r="A134" s="27"/>
      <c r="B134" s="13" t="str">
        <f>CONCATENATE("     ","Royalty &amp; Commissions                             ")</f>
        <v xml:space="preserve">     Royalty &amp; Commissions                             </v>
      </c>
      <c r="C134" s="13"/>
      <c r="D134" s="1">
        <f>SUM(OSRRefD22_15x_0)</f>
        <v>8961.48</v>
      </c>
      <c r="E134" s="1"/>
      <c r="F134" s="5">
        <f t="shared" ref="F134:F137" si="69">IF(D$12=0,0,D134/D$12)</f>
        <v>2.1904676959007593E-2</v>
      </c>
      <c r="G134" s="1"/>
      <c r="H134" s="1">
        <f>SUM(OSRRefH22_15x_0)</f>
        <v>6271</v>
      </c>
      <c r="I134" s="1"/>
      <c r="J134" s="5">
        <f t="shared" ref="J134:J137" si="70">IF(H$12=0,0,H134/H$12)</f>
        <v>1.611295254245998E-2</v>
      </c>
      <c r="K134" s="1"/>
      <c r="L134" s="1">
        <f t="shared" ref="L134:L137" si="71">+D134-H134</f>
        <v>2690.4799999999996</v>
      </c>
      <c r="M134" s="1"/>
      <c r="N134" s="5">
        <f t="shared" ref="N134:N137" si="72">IF(H134=0,0,L134/H134)</f>
        <v>0.42903524158826334</v>
      </c>
      <c r="O134" s="13"/>
      <c r="P134" s="1">
        <f>SUM(OSRRefP22_15x_0)</f>
        <v>35159.06</v>
      </c>
      <c r="Q134" s="1"/>
      <c r="R134" s="5">
        <f t="shared" ref="R134:R137" si="73">IF(P$12=0,0,P134/P$12)</f>
        <v>1.8632316433522429E-2</v>
      </c>
      <c r="S134" s="1"/>
      <c r="T134" s="1">
        <f>SUM(OSRRefT22_15x_0)</f>
        <v>62710</v>
      </c>
      <c r="U134" s="1"/>
      <c r="V134" s="5">
        <f t="shared" ref="V134:V137" si="74">IF(T$12=0,0,T134/T$12)</f>
        <v>1.8998959919799E-2</v>
      </c>
      <c r="W134" s="1"/>
      <c r="X134" s="1">
        <f t="shared" ref="X134:X137" si="75">+P134-T134</f>
        <v>-27550.940000000002</v>
      </c>
      <c r="Y134" s="1"/>
      <c r="Z134" s="5">
        <f t="shared" ref="Z134:Z137" si="76">IF(T134=0,0,X134/T134)</f>
        <v>-0.43933886142560996</v>
      </c>
    </row>
    <row r="135" spans="1:26" s="24" customFormat="1" hidden="1" outlineLevel="2" x14ac:dyDescent="0.25">
      <c r="A135" s="26"/>
      <c r="B135" s="11" t="str">
        <f>CONCATENATE("          ", "6252", " - ", "ROYALTY DUE CSTV")</f>
        <v xml:space="preserve">          6252 - ROYALTY DUE CSTV</v>
      </c>
      <c r="C135" s="11"/>
      <c r="D135" s="7"/>
      <c r="E135" s="2"/>
      <c r="F135" s="6">
        <f t="shared" si="69"/>
        <v>0</v>
      </c>
      <c r="G135" s="2"/>
      <c r="H135" s="7">
        <v>1085</v>
      </c>
      <c r="I135" s="2"/>
      <c r="J135" s="6">
        <f t="shared" si="70"/>
        <v>2.7878414142192757E-3</v>
      </c>
      <c r="K135" s="2"/>
      <c r="L135" s="7">
        <f t="shared" si="71"/>
        <v>-1085</v>
      </c>
      <c r="M135" s="2"/>
      <c r="N135" s="6">
        <f t="shared" si="72"/>
        <v>-1</v>
      </c>
      <c r="O135" s="11"/>
      <c r="P135" s="7"/>
      <c r="Q135" s="2"/>
      <c r="R135" s="6">
        <f t="shared" si="73"/>
        <v>0</v>
      </c>
      <c r="S135" s="2"/>
      <c r="T135" s="7">
        <v>10850</v>
      </c>
      <c r="U135" s="2"/>
      <c r="V135" s="6">
        <f t="shared" si="74"/>
        <v>3.2871745356373651E-3</v>
      </c>
      <c r="W135" s="2"/>
      <c r="X135" s="7">
        <f t="shared" si="75"/>
        <v>-10850</v>
      </c>
      <c r="Y135" s="2"/>
      <c r="Z135" s="6">
        <f t="shared" si="76"/>
        <v>-1</v>
      </c>
    </row>
    <row r="136" spans="1:26" s="24" customFormat="1" hidden="1" outlineLevel="2" x14ac:dyDescent="0.25">
      <c r="A136" s="26"/>
      <c r="B136" s="11" t="str">
        <f>CONCATENATE("          ", "6253", " - ", "ROYALTY DUE ATHLETICS-LRG")</f>
        <v xml:space="preserve">          6253 - ROYALTY DUE ATHLETICS-LRG</v>
      </c>
      <c r="C136" s="11"/>
      <c r="D136" s="7">
        <v>8961.48</v>
      </c>
      <c r="E136" s="2"/>
      <c r="F136" s="6">
        <f t="shared" si="69"/>
        <v>2.1904676959007593E-2</v>
      </c>
      <c r="G136" s="2"/>
      <c r="H136" s="7">
        <v>4037</v>
      </c>
      <c r="I136" s="2"/>
      <c r="J136" s="6">
        <f t="shared" si="70"/>
        <v>1.0372825612168863E-2</v>
      </c>
      <c r="K136" s="2"/>
      <c r="L136" s="7">
        <f t="shared" si="71"/>
        <v>4924.4799999999996</v>
      </c>
      <c r="M136" s="2"/>
      <c r="N136" s="6">
        <f t="shared" si="72"/>
        <v>1.2198365122615802</v>
      </c>
      <c r="O136" s="11"/>
      <c r="P136" s="7">
        <v>35159.06</v>
      </c>
      <c r="Q136" s="2"/>
      <c r="R136" s="6">
        <f t="shared" si="73"/>
        <v>1.8632316433522429E-2</v>
      </c>
      <c r="S136" s="2"/>
      <c r="T136" s="7">
        <v>40370</v>
      </c>
      <c r="U136" s="2"/>
      <c r="V136" s="6">
        <f t="shared" si="74"/>
        <v>1.2230712995730914E-2</v>
      </c>
      <c r="W136" s="2"/>
      <c r="X136" s="7">
        <f t="shared" si="75"/>
        <v>-5210.9400000000023</v>
      </c>
      <c r="Y136" s="2"/>
      <c r="Z136" s="6">
        <f t="shared" si="76"/>
        <v>-0.1290795144909587</v>
      </c>
    </row>
    <row r="137" spans="1:26" s="24" customFormat="1" hidden="1" outlineLevel="2" x14ac:dyDescent="0.25">
      <c r="A137" s="26"/>
      <c r="B137" s="11" t="str">
        <f>CONCATENATE("          ", "6254", " - ", "ROYALTY &amp; COMMISSIONS")</f>
        <v xml:space="preserve">          6254 - ROYALTY &amp; COMMISSIONS</v>
      </c>
      <c r="C137" s="11"/>
      <c r="D137" s="7"/>
      <c r="E137" s="2"/>
      <c r="F137" s="6">
        <f t="shared" si="69"/>
        <v>0</v>
      </c>
      <c r="G137" s="2"/>
      <c r="H137" s="7">
        <v>1149</v>
      </c>
      <c r="I137" s="2"/>
      <c r="J137" s="6">
        <f t="shared" si="70"/>
        <v>2.9522855160718413E-3</v>
      </c>
      <c r="K137" s="2"/>
      <c r="L137" s="7">
        <f t="shared" si="71"/>
        <v>-1149</v>
      </c>
      <c r="M137" s="2"/>
      <c r="N137" s="6">
        <f t="shared" si="72"/>
        <v>-1</v>
      </c>
      <c r="O137" s="11"/>
      <c r="P137" s="7"/>
      <c r="Q137" s="2"/>
      <c r="R137" s="6">
        <f t="shared" si="73"/>
        <v>0</v>
      </c>
      <c r="S137" s="2"/>
      <c r="T137" s="7">
        <v>11490</v>
      </c>
      <c r="U137" s="2"/>
      <c r="V137" s="6">
        <f t="shared" si="74"/>
        <v>3.4810723884307212E-3</v>
      </c>
      <c r="W137" s="2"/>
      <c r="X137" s="7">
        <f t="shared" si="75"/>
        <v>-11490</v>
      </c>
      <c r="Y137" s="2"/>
      <c r="Z137" s="6">
        <f t="shared" si="76"/>
        <v>-1</v>
      </c>
    </row>
    <row r="138" spans="1:26" s="25" customFormat="1" outlineLevel="1" collapsed="1" x14ac:dyDescent="0.25">
      <c r="A138" s="27"/>
      <c r="B138" s="13" t="str">
        <f>CONCATENATE("     ","Services                                          ")</f>
        <v xml:space="preserve">     Services                                          </v>
      </c>
      <c r="C138" s="13"/>
      <c r="D138" s="1">
        <f>SUM(OSRRefD22_16x_0)</f>
        <v>155.59</v>
      </c>
      <c r="E138" s="1"/>
      <c r="F138" s="5">
        <f t="shared" ref="F138:F141" si="77">IF(D$12=0,0,D138/D$12)</f>
        <v>3.8031091829162056E-4</v>
      </c>
      <c r="G138" s="1"/>
      <c r="H138" s="1">
        <f>SUM(OSRRefH22_16x_0)</f>
        <v>255</v>
      </c>
      <c r="I138" s="1"/>
      <c r="J138" s="5">
        <f t="shared" ref="J138:J141" si="78">IF(H$12=0,0,H138/H$12)</f>
        <v>6.5520696831881605E-4</v>
      </c>
      <c r="K138" s="1"/>
      <c r="L138" s="1">
        <f t="shared" ref="L138:L141" si="79">+D138-H138</f>
        <v>-99.41</v>
      </c>
      <c r="M138" s="1"/>
      <c r="N138" s="5">
        <f t="shared" ref="N138:N141" si="80">IF(H138=0,0,L138/H138)</f>
        <v>-0.38984313725490194</v>
      </c>
      <c r="O138" s="13"/>
      <c r="P138" s="1">
        <f>SUM(OSRRefP22_16x_0)</f>
        <v>762.93</v>
      </c>
      <c r="Q138" s="1"/>
      <c r="R138" s="5">
        <f t="shared" ref="R138:R141" si="81">IF(P$12=0,0,P138/P$12)</f>
        <v>4.0430981876726134E-4</v>
      </c>
      <c r="S138" s="1"/>
      <c r="T138" s="1">
        <f>SUM(OSRRefT22_16x_0)</f>
        <v>2140</v>
      </c>
      <c r="U138" s="1"/>
      <c r="V138" s="5">
        <f t="shared" ref="V138:V141" si="82">IF(T$12=0,0,T138/T$12)</f>
        <v>6.4834594527778447E-4</v>
      </c>
      <c r="W138" s="1"/>
      <c r="X138" s="1">
        <f t="shared" ref="X138:X141" si="83">+P138-T138</f>
        <v>-1377.0700000000002</v>
      </c>
      <c r="Y138" s="1"/>
      <c r="Z138" s="5">
        <f t="shared" ref="Z138:Z141" si="84">IF(T138=0,0,X138/T138)</f>
        <v>-0.64349065420560758</v>
      </c>
    </row>
    <row r="139" spans="1:26" s="24" customFormat="1" hidden="1" outlineLevel="2" x14ac:dyDescent="0.25">
      <c r="A139" s="26"/>
      <c r="B139" s="11" t="str">
        <f>CONCATENATE("          ", "6283", " - ", "PLANT SERVICE")</f>
        <v xml:space="preserve">          6283 - PLANT SERVICE</v>
      </c>
      <c r="C139" s="11"/>
      <c r="D139" s="7"/>
      <c r="E139" s="2"/>
      <c r="F139" s="6">
        <f t="shared" si="77"/>
        <v>0</v>
      </c>
      <c r="G139" s="2"/>
      <c r="H139" s="7">
        <v>0</v>
      </c>
      <c r="I139" s="2"/>
      <c r="J139" s="6">
        <f t="shared" si="78"/>
        <v>0</v>
      </c>
      <c r="K139" s="2"/>
      <c r="L139" s="7">
        <f t="shared" si="79"/>
        <v>0</v>
      </c>
      <c r="M139" s="2"/>
      <c r="N139" s="6">
        <f t="shared" si="80"/>
        <v>0</v>
      </c>
      <c r="O139" s="11"/>
      <c r="P139" s="7">
        <v>41.31</v>
      </c>
      <c r="Q139" s="2"/>
      <c r="R139" s="6">
        <f t="shared" si="81"/>
        <v>2.1891967301424202E-5</v>
      </c>
      <c r="S139" s="2"/>
      <c r="T139" s="7">
        <v>0</v>
      </c>
      <c r="U139" s="2"/>
      <c r="V139" s="6">
        <f t="shared" si="82"/>
        <v>0</v>
      </c>
      <c r="W139" s="2"/>
      <c r="X139" s="7">
        <f t="shared" si="83"/>
        <v>41.31</v>
      </c>
      <c r="Y139" s="2"/>
      <c r="Z139" s="6">
        <f t="shared" si="84"/>
        <v>0</v>
      </c>
    </row>
    <row r="140" spans="1:26" s="24" customFormat="1" hidden="1" outlineLevel="2" x14ac:dyDescent="0.25">
      <c r="A140" s="26"/>
      <c r="B140" s="11" t="str">
        <f>CONCATENATE("          ", "6284", " - ", "TRASH REMOVAL EXPENSE")</f>
        <v xml:space="preserve">          6284 - TRASH REMOVAL EXPENSE</v>
      </c>
      <c r="C140" s="11"/>
      <c r="D140" s="7">
        <v>142.57</v>
      </c>
      <c r="E140" s="2"/>
      <c r="F140" s="6">
        <f t="shared" si="77"/>
        <v>3.4848594138978302E-4</v>
      </c>
      <c r="G140" s="2"/>
      <c r="H140" s="7">
        <v>55</v>
      </c>
      <c r="I140" s="2"/>
      <c r="J140" s="6">
        <f t="shared" si="78"/>
        <v>1.4131915002954854E-4</v>
      </c>
      <c r="K140" s="2"/>
      <c r="L140" s="7">
        <f t="shared" si="79"/>
        <v>87.57</v>
      </c>
      <c r="M140" s="2"/>
      <c r="N140" s="6">
        <f t="shared" si="80"/>
        <v>1.5921818181818181</v>
      </c>
      <c r="O140" s="11"/>
      <c r="P140" s="7">
        <v>1440.72</v>
      </c>
      <c r="Q140" s="2"/>
      <c r="R140" s="6">
        <f t="shared" si="81"/>
        <v>7.6350024523136957E-4</v>
      </c>
      <c r="S140" s="2"/>
      <c r="T140" s="7">
        <v>715</v>
      </c>
      <c r="U140" s="2"/>
      <c r="V140" s="6">
        <f t="shared" si="82"/>
        <v>2.1662025741757751E-4</v>
      </c>
      <c r="W140" s="2"/>
      <c r="X140" s="7">
        <f t="shared" si="83"/>
        <v>725.72</v>
      </c>
      <c r="Y140" s="2"/>
      <c r="Z140" s="6">
        <f t="shared" si="84"/>
        <v>1.0149930069930071</v>
      </c>
    </row>
    <row r="141" spans="1:26" s="24" customFormat="1" hidden="1" outlineLevel="2" x14ac:dyDescent="0.25">
      <c r="A141" s="26"/>
      <c r="B141" s="11" t="str">
        <f>CONCATENATE("          ", "6285", " - ", "JANITORIAL SERVICES")</f>
        <v xml:space="preserve">          6285 - JANITORIAL SERVICES</v>
      </c>
      <c r="C141" s="11"/>
      <c r="D141" s="7">
        <v>13.02</v>
      </c>
      <c r="E141" s="2"/>
      <c r="F141" s="6">
        <f t="shared" si="77"/>
        <v>3.1824976901837519E-5</v>
      </c>
      <c r="G141" s="2"/>
      <c r="H141" s="7">
        <v>200</v>
      </c>
      <c r="I141" s="2"/>
      <c r="J141" s="6">
        <f t="shared" si="78"/>
        <v>5.1388781828926749E-4</v>
      </c>
      <c r="K141" s="2"/>
      <c r="L141" s="7">
        <f t="shared" si="79"/>
        <v>-186.98</v>
      </c>
      <c r="M141" s="2"/>
      <c r="N141" s="6">
        <f t="shared" si="80"/>
        <v>-0.93489999999999995</v>
      </c>
      <c r="O141" s="11"/>
      <c r="P141" s="7">
        <v>-719.1</v>
      </c>
      <c r="Q141" s="2"/>
      <c r="R141" s="6">
        <f t="shared" si="81"/>
        <v>-3.8108239376553242E-4</v>
      </c>
      <c r="S141" s="2"/>
      <c r="T141" s="7">
        <v>1425</v>
      </c>
      <c r="U141" s="2"/>
      <c r="V141" s="6">
        <f t="shared" si="82"/>
        <v>4.3172568786020694E-4</v>
      </c>
      <c r="W141" s="2"/>
      <c r="X141" s="7">
        <f t="shared" si="83"/>
        <v>-2144.1</v>
      </c>
      <c r="Y141" s="2"/>
      <c r="Z141" s="6">
        <f t="shared" si="84"/>
        <v>-1.5046315789473683</v>
      </c>
    </row>
    <row r="142" spans="1:26" s="25" customFormat="1" outlineLevel="1" collapsed="1" x14ac:dyDescent="0.25">
      <c r="A142" s="27"/>
      <c r="B142" s="13" t="str">
        <f>CONCATENATE("     ","Subscriptions &amp; Dues                              ")</f>
        <v xml:space="preserve">     Subscriptions &amp; Dues                              </v>
      </c>
      <c r="C142" s="13"/>
      <c r="D142" s="1">
        <f>SUM(OSRRefD22_17x_0)</f>
        <v>2014.87</v>
      </c>
      <c r="E142" s="1"/>
      <c r="F142" s="5">
        <f t="shared" ref="F142:F144" si="85">IF(D$12=0,0,D142/D$12)</f>
        <v>4.9249762834259114E-3</v>
      </c>
      <c r="G142" s="1"/>
      <c r="H142" s="1">
        <f>SUM(OSRRefH22_17x_0)</f>
        <v>0</v>
      </c>
      <c r="I142" s="1"/>
      <c r="J142" s="5">
        <f t="shared" ref="J142:J144" si="86">IF(H$12=0,0,H142/H$12)</f>
        <v>0</v>
      </c>
      <c r="K142" s="1"/>
      <c r="L142" s="1">
        <f t="shared" ref="L142:L144" si="87">+D142-H142</f>
        <v>2014.87</v>
      </c>
      <c r="M142" s="1"/>
      <c r="N142" s="5">
        <f t="shared" ref="N142:N144" si="88">IF(H142=0,0,L142/H142)</f>
        <v>0</v>
      </c>
      <c r="O142" s="13"/>
      <c r="P142" s="1">
        <f>SUM(OSRRefP22_17x_0)</f>
        <v>2022.57</v>
      </c>
      <c r="Q142" s="1"/>
      <c r="R142" s="5">
        <f t="shared" ref="R142:R144" si="89">IF(P$12=0,0,P142/P$12)</f>
        <v>1.0718478892481613E-3</v>
      </c>
      <c r="S142" s="1"/>
      <c r="T142" s="1">
        <f>SUM(OSRRefT22_17x_0)</f>
        <v>1395</v>
      </c>
      <c r="U142" s="1"/>
      <c r="V142" s="5">
        <f t="shared" ref="V142:V144" si="90">IF(T$12=0,0,T142/T$12)</f>
        <v>4.2263672601051836E-4</v>
      </c>
      <c r="W142" s="1"/>
      <c r="X142" s="1">
        <f t="shared" ref="X142:X144" si="91">+P142-T142</f>
        <v>627.56999999999994</v>
      </c>
      <c r="Y142" s="1"/>
      <c r="Z142" s="5">
        <f t="shared" ref="Z142:Z144" si="92">IF(T142=0,0,X142/T142)</f>
        <v>0.44987096774193541</v>
      </c>
    </row>
    <row r="143" spans="1:26" s="24" customFormat="1" hidden="1" outlineLevel="2" x14ac:dyDescent="0.25">
      <c r="A143" s="26"/>
      <c r="B143" s="11" t="str">
        <f>CONCATENATE("          ", "6258", " - ", "MEMBERSHIP DUES")</f>
        <v xml:space="preserve">          6258 - MEMBERSHIP DUES</v>
      </c>
      <c r="C143" s="11"/>
      <c r="D143" s="7"/>
      <c r="E143" s="2"/>
      <c r="F143" s="6">
        <f t="shared" si="85"/>
        <v>0</v>
      </c>
      <c r="G143" s="2"/>
      <c r="H143" s="7">
        <v>0</v>
      </c>
      <c r="I143" s="2"/>
      <c r="J143" s="6">
        <f t="shared" si="86"/>
        <v>0</v>
      </c>
      <c r="K143" s="2"/>
      <c r="L143" s="7">
        <f t="shared" si="87"/>
        <v>0</v>
      </c>
      <c r="M143" s="2"/>
      <c r="N143" s="6">
        <f t="shared" si="88"/>
        <v>0</v>
      </c>
      <c r="O143" s="11"/>
      <c r="P143" s="7">
        <v>-368.03</v>
      </c>
      <c r="Q143" s="2"/>
      <c r="R143" s="6">
        <f t="shared" si="89"/>
        <v>-1.9503511803299804E-4</v>
      </c>
      <c r="S143" s="2"/>
      <c r="T143" s="7">
        <v>1395</v>
      </c>
      <c r="U143" s="2"/>
      <c r="V143" s="6">
        <f t="shared" si="90"/>
        <v>4.2263672601051836E-4</v>
      </c>
      <c r="W143" s="2"/>
      <c r="X143" s="7">
        <f t="shared" si="91"/>
        <v>-1763.03</v>
      </c>
      <c r="Y143" s="2"/>
      <c r="Z143" s="6">
        <f t="shared" si="92"/>
        <v>-1.263820788530466</v>
      </c>
    </row>
    <row r="144" spans="1:26" s="24" customFormat="1" hidden="1" outlineLevel="2" x14ac:dyDescent="0.25">
      <c r="A144" s="26"/>
      <c r="B144" s="11" t="str">
        <f>CONCATENATE("          ", "6275", " - ", "SUBSCRIPTIONS")</f>
        <v xml:space="preserve">          6275 - SUBSCRIPTIONS</v>
      </c>
      <c r="C144" s="11"/>
      <c r="D144" s="7">
        <v>2014.87</v>
      </c>
      <c r="E144" s="2"/>
      <c r="F144" s="6">
        <f t="shared" si="85"/>
        <v>4.9249762834259114E-3</v>
      </c>
      <c r="G144" s="2"/>
      <c r="H144" s="7">
        <v>0</v>
      </c>
      <c r="I144" s="2"/>
      <c r="J144" s="6">
        <f t="shared" si="86"/>
        <v>0</v>
      </c>
      <c r="K144" s="2"/>
      <c r="L144" s="7">
        <f t="shared" si="87"/>
        <v>2014.87</v>
      </c>
      <c r="M144" s="2"/>
      <c r="N144" s="6">
        <f t="shared" si="88"/>
        <v>0</v>
      </c>
      <c r="O144" s="11"/>
      <c r="P144" s="7">
        <v>2390.6</v>
      </c>
      <c r="Q144" s="2"/>
      <c r="R144" s="6">
        <f t="shared" si="89"/>
        <v>1.2668830072811595E-3</v>
      </c>
      <c r="S144" s="2"/>
      <c r="T144" s="7">
        <v>0</v>
      </c>
      <c r="U144" s="2"/>
      <c r="V144" s="6">
        <f t="shared" si="90"/>
        <v>0</v>
      </c>
      <c r="W144" s="2"/>
      <c r="X144" s="7">
        <f t="shared" si="91"/>
        <v>2390.6</v>
      </c>
      <c r="Y144" s="2"/>
      <c r="Z144" s="6">
        <f t="shared" si="92"/>
        <v>0</v>
      </c>
    </row>
    <row r="145" spans="1:26" s="25" customFormat="1" outlineLevel="1" collapsed="1" x14ac:dyDescent="0.25">
      <c r="A145" s="27"/>
      <c r="B145" s="13" t="str">
        <f>CONCATENATE("     ","Supplies                                          ")</f>
        <v xml:space="preserve">     Supplies                                          </v>
      </c>
      <c r="C145" s="13"/>
      <c r="D145" s="1">
        <f>SUM(OSRRefD22_18x_0)</f>
        <v>399.95</v>
      </c>
      <c r="E145" s="1"/>
      <c r="F145" s="5">
        <f t="shared" ref="F145:F153" si="93">IF(D$12=0,0,D145/D$12)</f>
        <v>9.7760364914669089E-4</v>
      </c>
      <c r="G145" s="1"/>
      <c r="H145" s="1">
        <f>SUM(OSRRefH22_18x_0)</f>
        <v>645</v>
      </c>
      <c r="I145" s="1"/>
      <c r="J145" s="5">
        <f t="shared" ref="J145:J153" si="94">IF(H$12=0,0,H145/H$12)</f>
        <v>1.6572882139828874E-3</v>
      </c>
      <c r="K145" s="1"/>
      <c r="L145" s="1">
        <f t="shared" ref="L145:L153" si="95">+D145-H145</f>
        <v>-245.05</v>
      </c>
      <c r="M145" s="1"/>
      <c r="N145" s="5">
        <f t="shared" ref="N145:N153" si="96">IF(H145=0,0,L145/H145)</f>
        <v>-0.37992248062015505</v>
      </c>
      <c r="O145" s="13"/>
      <c r="P145" s="1">
        <f>SUM(OSRRefP22_18x_0)</f>
        <v>4589.07</v>
      </c>
      <c r="Q145" s="1"/>
      <c r="R145" s="5">
        <f t="shared" ref="R145:R153" si="97">IF(P$12=0,0,P145/P$12)</f>
        <v>2.4319479637847194E-3</v>
      </c>
      <c r="S145" s="1"/>
      <c r="T145" s="1">
        <f>SUM(OSRRefT22_18x_0)</f>
        <v>6280</v>
      </c>
      <c r="U145" s="1"/>
      <c r="V145" s="5">
        <f t="shared" ref="V145:V153" si="98">IF(T$12=0,0,T145/T$12)</f>
        <v>1.9026226805348065E-3</v>
      </c>
      <c r="W145" s="1"/>
      <c r="X145" s="1">
        <f t="shared" ref="X145:X153" si="99">+P145-T145</f>
        <v>-1690.9300000000003</v>
      </c>
      <c r="Y145" s="1"/>
      <c r="Z145" s="5">
        <f t="shared" ref="Z145:Z153" si="100">IF(T145=0,0,X145/T145)</f>
        <v>-0.26925636942675163</v>
      </c>
    </row>
    <row r="146" spans="1:26" s="24" customFormat="1" hidden="1" outlineLevel="2" x14ac:dyDescent="0.25">
      <c r="A146" s="26"/>
      <c r="B146" s="11" t="str">
        <f>CONCATENATE("          ", "6234", " - ", "EXPENDABLE SUPPLIES &amp; EQUIPMEN")</f>
        <v xml:space="preserve">          6234 - EXPENDABLE SUPPLIES &amp; EQUIPMEN</v>
      </c>
      <c r="C146" s="11"/>
      <c r="D146" s="7">
        <v>53</v>
      </c>
      <c r="E146" s="2"/>
      <c r="F146" s="6">
        <f t="shared" si="93"/>
        <v>1.2954867709657363E-4</v>
      </c>
      <c r="G146" s="2"/>
      <c r="H146" s="7">
        <v>50</v>
      </c>
      <c r="I146" s="2"/>
      <c r="J146" s="6">
        <f t="shared" si="94"/>
        <v>1.2847195457231687E-4</v>
      </c>
      <c r="K146" s="2"/>
      <c r="L146" s="7">
        <f t="shared" si="95"/>
        <v>3</v>
      </c>
      <c r="M146" s="2"/>
      <c r="N146" s="6">
        <f t="shared" si="96"/>
        <v>0.06</v>
      </c>
      <c r="O146" s="11"/>
      <c r="P146" s="7">
        <v>449.5</v>
      </c>
      <c r="Q146" s="2"/>
      <c r="R146" s="6">
        <f t="shared" si="97"/>
        <v>2.3820961757419943E-4</v>
      </c>
      <c r="S146" s="2"/>
      <c r="T146" s="7">
        <v>500</v>
      </c>
      <c r="U146" s="2"/>
      <c r="V146" s="6">
        <f t="shared" si="98"/>
        <v>1.5148269749480945E-4</v>
      </c>
      <c r="W146" s="2"/>
      <c r="X146" s="7">
        <f t="shared" si="99"/>
        <v>-50.5</v>
      </c>
      <c r="Y146" s="2"/>
      <c r="Z146" s="6">
        <f t="shared" si="100"/>
        <v>-0.10100000000000001</v>
      </c>
    </row>
    <row r="147" spans="1:26" s="24" customFormat="1" hidden="1" outlineLevel="2" x14ac:dyDescent="0.25">
      <c r="A147" s="26"/>
      <c r="B147" s="11" t="str">
        <f>CONCATENATE("          ", "6235", " - ", "COVID-19 EXPENSES")</f>
        <v xml:space="preserve">          6235 - COVID-19 EXPENSES</v>
      </c>
      <c r="C147" s="11"/>
      <c r="D147" s="7"/>
      <c r="E147" s="2"/>
      <c r="F147" s="6">
        <f t="shared" si="93"/>
        <v>0</v>
      </c>
      <c r="G147" s="2"/>
      <c r="H147" s="7">
        <v>200</v>
      </c>
      <c r="I147" s="2"/>
      <c r="J147" s="6">
        <f t="shared" si="94"/>
        <v>5.1388781828926749E-4</v>
      </c>
      <c r="K147" s="2"/>
      <c r="L147" s="7">
        <f t="shared" si="95"/>
        <v>-200</v>
      </c>
      <c r="M147" s="2"/>
      <c r="N147" s="6">
        <f t="shared" si="96"/>
        <v>-1</v>
      </c>
      <c r="O147" s="11"/>
      <c r="P147" s="7">
        <v>1292.1300000000001</v>
      </c>
      <c r="Q147" s="2"/>
      <c r="R147" s="6">
        <f t="shared" si="97"/>
        <v>6.8475593583125775E-4</v>
      </c>
      <c r="S147" s="2"/>
      <c r="T147" s="7">
        <v>2000</v>
      </c>
      <c r="U147" s="2"/>
      <c r="V147" s="6">
        <f t="shared" si="98"/>
        <v>6.0593078997923781E-4</v>
      </c>
      <c r="W147" s="2"/>
      <c r="X147" s="7">
        <f t="shared" si="99"/>
        <v>-707.86999999999989</v>
      </c>
      <c r="Y147" s="2"/>
      <c r="Z147" s="6">
        <f t="shared" si="100"/>
        <v>-0.35393499999999994</v>
      </c>
    </row>
    <row r="148" spans="1:26" s="24" customFormat="1" hidden="1" outlineLevel="2" x14ac:dyDescent="0.25">
      <c r="A148" s="26"/>
      <c r="B148" s="11" t="str">
        <f>CONCATENATE("          ", "6237", " - ", "JANITORIAL SUPPLIES")</f>
        <v xml:space="preserve">          6237 - JANITORIAL SUPPLIES</v>
      </c>
      <c r="C148" s="11"/>
      <c r="D148" s="7"/>
      <c r="E148" s="2"/>
      <c r="F148" s="6">
        <f t="shared" si="93"/>
        <v>0</v>
      </c>
      <c r="G148" s="2"/>
      <c r="H148" s="7">
        <v>70</v>
      </c>
      <c r="I148" s="2"/>
      <c r="J148" s="6">
        <f t="shared" si="94"/>
        <v>1.7986073640124362E-4</v>
      </c>
      <c r="K148" s="2"/>
      <c r="L148" s="7">
        <f t="shared" si="95"/>
        <v>-70</v>
      </c>
      <c r="M148" s="2"/>
      <c r="N148" s="6">
        <f t="shared" si="96"/>
        <v>-1</v>
      </c>
      <c r="O148" s="11"/>
      <c r="P148" s="7">
        <v>191.74</v>
      </c>
      <c r="Q148" s="2"/>
      <c r="R148" s="6">
        <f t="shared" si="97"/>
        <v>1.0161137280017131E-4</v>
      </c>
      <c r="S148" s="2"/>
      <c r="T148" s="7">
        <v>680</v>
      </c>
      <c r="U148" s="2"/>
      <c r="V148" s="6">
        <f t="shared" si="98"/>
        <v>2.0601646859294084E-4</v>
      </c>
      <c r="W148" s="2"/>
      <c r="X148" s="7">
        <f t="shared" si="99"/>
        <v>-488.26</v>
      </c>
      <c r="Y148" s="2"/>
      <c r="Z148" s="6">
        <f t="shared" si="100"/>
        <v>-0.71802941176470592</v>
      </c>
    </row>
    <row r="149" spans="1:26" s="24" customFormat="1" hidden="1" outlineLevel="2" x14ac:dyDescent="0.25">
      <c r="A149" s="26"/>
      <c r="B149" s="11" t="str">
        <f>CONCATENATE("          ", "6241", " - ", "OFFICE EXPENSE")</f>
        <v xml:space="preserve">          6241 - OFFICE EXPENSE</v>
      </c>
      <c r="C149" s="11"/>
      <c r="D149" s="7">
        <v>346.95</v>
      </c>
      <c r="E149" s="2"/>
      <c r="F149" s="6">
        <f t="shared" si="93"/>
        <v>8.4805497205011726E-4</v>
      </c>
      <c r="G149" s="2"/>
      <c r="H149" s="7">
        <v>125</v>
      </c>
      <c r="I149" s="2"/>
      <c r="J149" s="6">
        <f t="shared" si="94"/>
        <v>3.2117988643079215E-4</v>
      </c>
      <c r="K149" s="2"/>
      <c r="L149" s="7">
        <f t="shared" si="95"/>
        <v>221.95</v>
      </c>
      <c r="M149" s="2"/>
      <c r="N149" s="6">
        <f t="shared" si="96"/>
        <v>1.7755999999999998</v>
      </c>
      <c r="O149" s="11"/>
      <c r="P149" s="7">
        <v>1545.47</v>
      </c>
      <c r="Q149" s="2"/>
      <c r="R149" s="6">
        <f t="shared" si="97"/>
        <v>8.1901183019443384E-4</v>
      </c>
      <c r="S149" s="2"/>
      <c r="T149" s="7">
        <v>1250</v>
      </c>
      <c r="U149" s="2"/>
      <c r="V149" s="6">
        <f t="shared" si="98"/>
        <v>3.787067437370236E-4</v>
      </c>
      <c r="W149" s="2"/>
      <c r="X149" s="7">
        <f t="shared" si="99"/>
        <v>295.47000000000003</v>
      </c>
      <c r="Y149" s="2"/>
      <c r="Z149" s="6">
        <f t="shared" si="100"/>
        <v>0.23637600000000003</v>
      </c>
    </row>
    <row r="150" spans="1:26" s="24" customFormat="1" hidden="1" outlineLevel="2" x14ac:dyDescent="0.25">
      <c r="A150" s="26"/>
      <c r="B150" s="11" t="str">
        <f>CONCATENATE("          ", "6243", " - ", "PAPER SUPPLIES")</f>
        <v xml:space="preserve">          6243 - PAPER SUPPLIES</v>
      </c>
      <c r="C150" s="11"/>
      <c r="D150" s="7"/>
      <c r="E150" s="2"/>
      <c r="F150" s="6">
        <f t="shared" si="93"/>
        <v>0</v>
      </c>
      <c r="G150" s="2"/>
      <c r="H150" s="7">
        <v>50</v>
      </c>
      <c r="I150" s="2"/>
      <c r="J150" s="6">
        <f t="shared" si="94"/>
        <v>1.2847195457231687E-4</v>
      </c>
      <c r="K150" s="2"/>
      <c r="L150" s="7">
        <f t="shared" si="95"/>
        <v>-50</v>
      </c>
      <c r="M150" s="2"/>
      <c r="N150" s="6">
        <f t="shared" si="96"/>
        <v>-1</v>
      </c>
      <c r="O150" s="11"/>
      <c r="P150" s="7"/>
      <c r="Q150" s="2"/>
      <c r="R150" s="6">
        <f t="shared" si="97"/>
        <v>0</v>
      </c>
      <c r="S150" s="2"/>
      <c r="T150" s="7">
        <v>500</v>
      </c>
      <c r="U150" s="2"/>
      <c r="V150" s="6">
        <f t="shared" si="98"/>
        <v>1.5148269749480945E-4</v>
      </c>
      <c r="W150" s="2"/>
      <c r="X150" s="7">
        <f t="shared" si="99"/>
        <v>-500</v>
      </c>
      <c r="Y150" s="2"/>
      <c r="Z150" s="6">
        <f t="shared" si="100"/>
        <v>-1</v>
      </c>
    </row>
    <row r="151" spans="1:26" s="24" customFormat="1" hidden="1" outlineLevel="2" x14ac:dyDescent="0.25">
      <c r="A151" s="26"/>
      <c r="B151" s="11" t="str">
        <f>CONCATENATE("          ", "6244", " - ", "SAFETY SUPPLY EXPENSE")</f>
        <v xml:space="preserve">          6244 - SAFETY SUPPLY EXPENSE</v>
      </c>
      <c r="C151" s="11"/>
      <c r="D151" s="7"/>
      <c r="E151" s="2"/>
      <c r="F151" s="6">
        <f t="shared" si="93"/>
        <v>0</v>
      </c>
      <c r="G151" s="2"/>
      <c r="H151" s="7">
        <v>25</v>
      </c>
      <c r="I151" s="2"/>
      <c r="J151" s="6">
        <f t="shared" si="94"/>
        <v>6.4235977286158436E-5</v>
      </c>
      <c r="K151" s="2"/>
      <c r="L151" s="7">
        <f t="shared" si="95"/>
        <v>-25</v>
      </c>
      <c r="M151" s="2"/>
      <c r="N151" s="6">
        <f t="shared" si="96"/>
        <v>-1</v>
      </c>
      <c r="O151" s="11"/>
      <c r="P151" s="7"/>
      <c r="Q151" s="2"/>
      <c r="R151" s="6">
        <f t="shared" si="97"/>
        <v>0</v>
      </c>
      <c r="S151" s="2"/>
      <c r="T151" s="7">
        <v>100</v>
      </c>
      <c r="U151" s="2"/>
      <c r="V151" s="6">
        <f t="shared" si="98"/>
        <v>3.0296539498961888E-5</v>
      </c>
      <c r="W151" s="2"/>
      <c r="X151" s="7">
        <f t="shared" si="99"/>
        <v>-100</v>
      </c>
      <c r="Y151" s="2"/>
      <c r="Z151" s="6">
        <f t="shared" si="100"/>
        <v>-1</v>
      </c>
    </row>
    <row r="152" spans="1:26" s="24" customFormat="1" hidden="1" outlineLevel="2" x14ac:dyDescent="0.25">
      <c r="A152" s="26"/>
      <c r="B152" s="11" t="str">
        <f>CONCATENATE("          ", "6245", " - ", "PRINTING")</f>
        <v xml:space="preserve">          6245 - PRINTING</v>
      </c>
      <c r="C152" s="11"/>
      <c r="D152" s="7"/>
      <c r="E152" s="2"/>
      <c r="F152" s="6">
        <f t="shared" si="93"/>
        <v>0</v>
      </c>
      <c r="G152" s="2"/>
      <c r="H152" s="7">
        <v>50</v>
      </c>
      <c r="I152" s="2"/>
      <c r="J152" s="6">
        <f t="shared" si="94"/>
        <v>1.2847195457231687E-4</v>
      </c>
      <c r="K152" s="2"/>
      <c r="L152" s="7">
        <f t="shared" si="95"/>
        <v>-50</v>
      </c>
      <c r="M152" s="2"/>
      <c r="N152" s="6">
        <f t="shared" si="96"/>
        <v>-1</v>
      </c>
      <c r="O152" s="11"/>
      <c r="P152" s="7"/>
      <c r="Q152" s="2"/>
      <c r="R152" s="6">
        <f t="shared" si="97"/>
        <v>0</v>
      </c>
      <c r="S152" s="2"/>
      <c r="T152" s="7">
        <v>500</v>
      </c>
      <c r="U152" s="2"/>
      <c r="V152" s="6">
        <f t="shared" si="98"/>
        <v>1.5148269749480945E-4</v>
      </c>
      <c r="W152" s="2"/>
      <c r="X152" s="7">
        <f t="shared" si="99"/>
        <v>-500</v>
      </c>
      <c r="Y152" s="2"/>
      <c r="Z152" s="6">
        <f t="shared" si="100"/>
        <v>-1</v>
      </c>
    </row>
    <row r="153" spans="1:26" s="24" customFormat="1" hidden="1" outlineLevel="2" x14ac:dyDescent="0.25">
      <c r="A153" s="26"/>
      <c r="B153" s="11" t="str">
        <f>CONCATENATE("          ", "6247", " - ", "STORE SUPPLIES")</f>
        <v xml:space="preserve">          6247 - STORE SUPPLIES</v>
      </c>
      <c r="C153" s="11"/>
      <c r="D153" s="7"/>
      <c r="E153" s="2"/>
      <c r="F153" s="6">
        <f t="shared" si="93"/>
        <v>0</v>
      </c>
      <c r="G153" s="2"/>
      <c r="H153" s="7">
        <v>75</v>
      </c>
      <c r="I153" s="2"/>
      <c r="J153" s="6">
        <f t="shared" si="94"/>
        <v>1.9270793185847528E-4</v>
      </c>
      <c r="K153" s="2"/>
      <c r="L153" s="7">
        <f t="shared" si="95"/>
        <v>-75</v>
      </c>
      <c r="M153" s="2"/>
      <c r="N153" s="6">
        <f t="shared" si="96"/>
        <v>-1</v>
      </c>
      <c r="O153" s="11"/>
      <c r="P153" s="7">
        <v>1110.23</v>
      </c>
      <c r="Q153" s="2"/>
      <c r="R153" s="6">
        <f t="shared" si="97"/>
        <v>5.8835920738465729E-4</v>
      </c>
      <c r="S153" s="2"/>
      <c r="T153" s="7">
        <v>750</v>
      </c>
      <c r="U153" s="2"/>
      <c r="V153" s="6">
        <f t="shared" si="98"/>
        <v>2.2722404624221418E-4</v>
      </c>
      <c r="W153" s="2"/>
      <c r="X153" s="7">
        <f t="shared" si="99"/>
        <v>360.23</v>
      </c>
      <c r="Y153" s="2"/>
      <c r="Z153" s="6">
        <f t="shared" si="100"/>
        <v>0.48030666666666672</v>
      </c>
    </row>
    <row r="154" spans="1:26" s="25" customFormat="1" outlineLevel="1" collapsed="1" x14ac:dyDescent="0.25">
      <c r="A154" s="27"/>
      <c r="B154" s="13" t="str">
        <f>CONCATENATE("     ","Telephone/Data Lines                              ")</f>
        <v xml:space="preserve">     Telephone/Data Lines                              </v>
      </c>
      <c r="C154" s="13"/>
      <c r="D154" s="1">
        <f>SUM(OSRRefD22_19x_0)</f>
        <v>330</v>
      </c>
      <c r="E154" s="1"/>
      <c r="F154" s="5">
        <f t="shared" ref="F154:F156" si="101">IF(D$12=0,0,D154/D$12)</f>
        <v>8.0662383852583581E-4</v>
      </c>
      <c r="G154" s="1"/>
      <c r="H154" s="1">
        <f>SUM(OSRRefH22_19x_0)</f>
        <v>830</v>
      </c>
      <c r="I154" s="1"/>
      <c r="J154" s="5">
        <f t="shared" ref="J154:J156" si="102">IF(H$12=0,0,H154/H$12)</f>
        <v>2.1326344459004598E-3</v>
      </c>
      <c r="K154" s="1"/>
      <c r="L154" s="1">
        <f t="shared" ref="L154:L156" si="103">+D154-H154</f>
        <v>-500</v>
      </c>
      <c r="M154" s="1"/>
      <c r="N154" s="5">
        <f t="shared" ref="N154:N156" si="104">IF(H154=0,0,L154/H154)</f>
        <v>-0.60240963855421692</v>
      </c>
      <c r="O154" s="13"/>
      <c r="P154" s="1">
        <f>SUM(OSRRefP22_19x_0)</f>
        <v>5758.73</v>
      </c>
      <c r="Q154" s="1"/>
      <c r="R154" s="5">
        <f t="shared" ref="R154:R156" si="105">IF(P$12=0,0,P154/P$12)</f>
        <v>3.0518017152682303E-3</v>
      </c>
      <c r="S154" s="1"/>
      <c r="T154" s="1">
        <f>SUM(OSRRefT22_19x_0)</f>
        <v>8300</v>
      </c>
      <c r="U154" s="1"/>
      <c r="V154" s="5">
        <f t="shared" ref="V154:V156" si="106">IF(T$12=0,0,T154/T$12)</f>
        <v>2.5146127784138367E-3</v>
      </c>
      <c r="W154" s="1"/>
      <c r="X154" s="1">
        <f t="shared" ref="X154:X156" si="107">+P154-T154</f>
        <v>-2541.2700000000004</v>
      </c>
      <c r="Y154" s="1"/>
      <c r="Z154" s="5">
        <f t="shared" ref="Z154:Z156" si="108">IF(T154=0,0,X154/T154)</f>
        <v>-0.30617710843373497</v>
      </c>
    </row>
    <row r="155" spans="1:26" s="24" customFormat="1" hidden="1" outlineLevel="2" x14ac:dyDescent="0.25">
      <c r="A155" s="26"/>
      <c r="B155" s="11" t="str">
        <f>CONCATENATE("          ", "6303", " - ", "DATA PHONE LINES")</f>
        <v xml:space="preserve">          6303 - DATA PHONE LINES</v>
      </c>
      <c r="C155" s="11"/>
      <c r="D155" s="7"/>
      <c r="E155" s="2"/>
      <c r="F155" s="6">
        <f t="shared" si="101"/>
        <v>0</v>
      </c>
      <c r="G155" s="2"/>
      <c r="H155" s="7">
        <v>230</v>
      </c>
      <c r="I155" s="2"/>
      <c r="J155" s="6">
        <f t="shared" si="102"/>
        <v>5.9097099103265754E-4</v>
      </c>
      <c r="K155" s="2"/>
      <c r="L155" s="7">
        <f t="shared" si="103"/>
        <v>-230</v>
      </c>
      <c r="M155" s="2"/>
      <c r="N155" s="6">
        <f t="shared" si="104"/>
        <v>-1</v>
      </c>
      <c r="O155" s="11"/>
      <c r="P155" s="7"/>
      <c r="Q155" s="2"/>
      <c r="R155" s="6">
        <f t="shared" si="105"/>
        <v>0</v>
      </c>
      <c r="S155" s="2"/>
      <c r="T155" s="7">
        <v>2300</v>
      </c>
      <c r="U155" s="2"/>
      <c r="V155" s="6">
        <f t="shared" si="106"/>
        <v>6.9682040847612349E-4</v>
      </c>
      <c r="W155" s="2"/>
      <c r="X155" s="7">
        <f t="shared" si="107"/>
        <v>-2300</v>
      </c>
      <c r="Y155" s="2"/>
      <c r="Z155" s="6">
        <f t="shared" si="108"/>
        <v>-1</v>
      </c>
    </row>
    <row r="156" spans="1:26" s="24" customFormat="1" hidden="1" outlineLevel="2" x14ac:dyDescent="0.25">
      <c r="A156" s="26"/>
      <c r="B156" s="11" t="str">
        <f>CONCATENATE("          ", "6309", " - ", "TELEPHONE")</f>
        <v xml:space="preserve">          6309 - TELEPHONE</v>
      </c>
      <c r="C156" s="11"/>
      <c r="D156" s="7">
        <v>330</v>
      </c>
      <c r="E156" s="2"/>
      <c r="F156" s="6">
        <f t="shared" si="101"/>
        <v>8.0662383852583581E-4</v>
      </c>
      <c r="G156" s="2"/>
      <c r="H156" s="7">
        <v>600</v>
      </c>
      <c r="I156" s="2"/>
      <c r="J156" s="6">
        <f t="shared" si="102"/>
        <v>1.5416634548678023E-3</v>
      </c>
      <c r="K156" s="2"/>
      <c r="L156" s="7">
        <f t="shared" si="103"/>
        <v>-270</v>
      </c>
      <c r="M156" s="2"/>
      <c r="N156" s="6">
        <f t="shared" si="104"/>
        <v>-0.45</v>
      </c>
      <c r="O156" s="11"/>
      <c r="P156" s="7">
        <v>5758.73</v>
      </c>
      <c r="Q156" s="2"/>
      <c r="R156" s="6">
        <f t="shared" si="105"/>
        <v>3.0518017152682303E-3</v>
      </c>
      <c r="S156" s="2"/>
      <c r="T156" s="7">
        <v>6000</v>
      </c>
      <c r="U156" s="2"/>
      <c r="V156" s="6">
        <f t="shared" si="106"/>
        <v>1.8177923699377134E-3</v>
      </c>
      <c r="W156" s="2"/>
      <c r="X156" s="7">
        <f t="shared" si="107"/>
        <v>-241.27000000000044</v>
      </c>
      <c r="Y156" s="2"/>
      <c r="Z156" s="6">
        <f t="shared" si="108"/>
        <v>-4.0211666666666743E-2</v>
      </c>
    </row>
    <row r="157" spans="1:26" s="25" customFormat="1" outlineLevel="1" collapsed="1" x14ac:dyDescent="0.25">
      <c r="A157" s="27"/>
      <c r="B157" s="13" t="str">
        <f>CONCATENATE("     ","Training                                          ")</f>
        <v xml:space="preserve">     Training                                          </v>
      </c>
      <c r="C157" s="13"/>
      <c r="D157" s="1">
        <f>SUM(OSRRefD22_20x_0)</f>
        <v>0</v>
      </c>
      <c r="E157" s="1"/>
      <c r="F157" s="5">
        <f t="shared" ref="F157:F161" si="109">IF(D$12=0,0,D157/D$12)</f>
        <v>0</v>
      </c>
      <c r="G157" s="1"/>
      <c r="H157" s="1">
        <f>SUM(OSRRefH22_20x_0)</f>
        <v>0</v>
      </c>
      <c r="I157" s="1"/>
      <c r="J157" s="5">
        <f t="shared" ref="J157:J161" si="110">IF(H$12=0,0,H157/H$12)</f>
        <v>0</v>
      </c>
      <c r="K157" s="1"/>
      <c r="L157" s="1">
        <f t="shared" ref="L157:L161" si="111">+D157-H157</f>
        <v>0</v>
      </c>
      <c r="M157" s="1"/>
      <c r="N157" s="5">
        <f t="shared" ref="N157:N161" si="112">IF(H157=0,0,L157/H157)</f>
        <v>0</v>
      </c>
      <c r="O157" s="13"/>
      <c r="P157" s="1">
        <f>SUM(OSRRefP22_20x_0)</f>
        <v>0</v>
      </c>
      <c r="Q157" s="1"/>
      <c r="R157" s="5">
        <f t="shared" ref="R157:R161" si="113">IF(P$12=0,0,P157/P$12)</f>
        <v>0</v>
      </c>
      <c r="S157" s="1"/>
      <c r="T157" s="1">
        <f>SUM(OSRRefT22_20x_0)</f>
        <v>3600</v>
      </c>
      <c r="U157" s="1"/>
      <c r="V157" s="5">
        <f t="shared" ref="V157:V161" si="114">IF(T$12=0,0,T157/T$12)</f>
        <v>1.090675421962628E-3</v>
      </c>
      <c r="W157" s="1"/>
      <c r="X157" s="1">
        <f t="shared" ref="X157:X161" si="115">+P157-T157</f>
        <v>-3600</v>
      </c>
      <c r="Y157" s="1"/>
      <c r="Z157" s="5">
        <f t="shared" ref="Z157:Z161" si="116">IF(T157=0,0,X157/T157)</f>
        <v>-1</v>
      </c>
    </row>
    <row r="158" spans="1:26" s="24" customFormat="1" hidden="1" outlineLevel="2" x14ac:dyDescent="0.25">
      <c r="A158" s="26"/>
      <c r="B158" s="11" t="str">
        <f>CONCATENATE("          ", "6376", " - ", "TRAINING")</f>
        <v xml:space="preserve">          6376 - TRAINING</v>
      </c>
      <c r="C158" s="11"/>
      <c r="D158" s="7"/>
      <c r="E158" s="2"/>
      <c r="F158" s="6">
        <f t="shared" si="109"/>
        <v>0</v>
      </c>
      <c r="G158" s="2"/>
      <c r="H158" s="7">
        <v>0</v>
      </c>
      <c r="I158" s="2"/>
      <c r="J158" s="6">
        <f t="shared" si="110"/>
        <v>0</v>
      </c>
      <c r="K158" s="2"/>
      <c r="L158" s="7">
        <f t="shared" si="111"/>
        <v>0</v>
      </c>
      <c r="M158" s="2"/>
      <c r="N158" s="6">
        <f t="shared" si="112"/>
        <v>0</v>
      </c>
      <c r="O158" s="11"/>
      <c r="P158" s="7"/>
      <c r="Q158" s="2"/>
      <c r="R158" s="6">
        <f t="shared" si="113"/>
        <v>0</v>
      </c>
      <c r="S158" s="2"/>
      <c r="T158" s="7">
        <v>3600</v>
      </c>
      <c r="U158" s="2"/>
      <c r="V158" s="6">
        <f t="shared" si="114"/>
        <v>1.090675421962628E-3</v>
      </c>
      <c r="W158" s="2"/>
      <c r="X158" s="7">
        <f t="shared" si="115"/>
        <v>-3600</v>
      </c>
      <c r="Y158" s="2"/>
      <c r="Z158" s="6">
        <f t="shared" si="116"/>
        <v>-1</v>
      </c>
    </row>
    <row r="159" spans="1:26" s="25" customFormat="1" outlineLevel="1" collapsed="1" x14ac:dyDescent="0.25">
      <c r="A159" s="27"/>
      <c r="B159" s="13" t="str">
        <f>CONCATENATE("     ","Travel                                            ")</f>
        <v xml:space="preserve">     Travel                                            </v>
      </c>
      <c r="C159" s="13"/>
      <c r="D159" s="1">
        <f>SUM(OSRRefD22_21x_0)</f>
        <v>69.069999999999993</v>
      </c>
      <c r="E159" s="1"/>
      <c r="F159" s="5">
        <f t="shared" si="109"/>
        <v>1.6882881371811962E-4</v>
      </c>
      <c r="G159" s="1"/>
      <c r="H159" s="1">
        <f>SUM(OSRRefH22_21x_0)</f>
        <v>50</v>
      </c>
      <c r="I159" s="1"/>
      <c r="J159" s="5">
        <f t="shared" si="110"/>
        <v>1.2847195457231687E-4</v>
      </c>
      <c r="K159" s="1"/>
      <c r="L159" s="1">
        <f t="shared" si="111"/>
        <v>19.069999999999993</v>
      </c>
      <c r="M159" s="1"/>
      <c r="N159" s="5">
        <f t="shared" si="112"/>
        <v>0.38139999999999985</v>
      </c>
      <c r="O159" s="13"/>
      <c r="P159" s="1">
        <f>SUM(OSRRefP22_21x_0)</f>
        <v>613.35</v>
      </c>
      <c r="Q159" s="1"/>
      <c r="R159" s="5">
        <f t="shared" si="113"/>
        <v>3.2504086527060117E-4</v>
      </c>
      <c r="S159" s="1"/>
      <c r="T159" s="1">
        <f>SUM(OSRRefT22_21x_0)</f>
        <v>700</v>
      </c>
      <c r="U159" s="1"/>
      <c r="V159" s="5">
        <f t="shared" si="114"/>
        <v>2.1207577649273322E-4</v>
      </c>
      <c r="W159" s="1"/>
      <c r="X159" s="1">
        <f t="shared" si="115"/>
        <v>-86.649999999999977</v>
      </c>
      <c r="Y159" s="1"/>
      <c r="Z159" s="5">
        <f t="shared" si="116"/>
        <v>-0.12378571428571425</v>
      </c>
    </row>
    <row r="160" spans="1:26" s="24" customFormat="1" hidden="1" outlineLevel="2" x14ac:dyDescent="0.25">
      <c r="A160" s="26"/>
      <c r="B160" s="11" t="str">
        <f>CONCATENATE("          ", "6294", " - ", "TRAVEL OPERATIONAL")</f>
        <v xml:space="preserve">          6294 - TRAVEL OPERATIONAL</v>
      </c>
      <c r="C160" s="11"/>
      <c r="D160" s="7">
        <v>69.069999999999993</v>
      </c>
      <c r="E160" s="2"/>
      <c r="F160" s="6">
        <f t="shared" si="109"/>
        <v>1.6882881371811962E-4</v>
      </c>
      <c r="G160" s="2"/>
      <c r="H160" s="7">
        <v>25</v>
      </c>
      <c r="I160" s="2"/>
      <c r="J160" s="6">
        <f t="shared" si="110"/>
        <v>6.4235977286158436E-5</v>
      </c>
      <c r="K160" s="2"/>
      <c r="L160" s="7">
        <f t="shared" si="111"/>
        <v>44.069999999999993</v>
      </c>
      <c r="M160" s="2"/>
      <c r="N160" s="6">
        <f t="shared" si="112"/>
        <v>1.7627999999999997</v>
      </c>
      <c r="O160" s="11"/>
      <c r="P160" s="7">
        <v>613.35</v>
      </c>
      <c r="Q160" s="2"/>
      <c r="R160" s="6">
        <f t="shared" si="113"/>
        <v>3.2504086527060117E-4</v>
      </c>
      <c r="S160" s="2"/>
      <c r="T160" s="7">
        <v>250</v>
      </c>
      <c r="U160" s="2"/>
      <c r="V160" s="6">
        <f t="shared" si="114"/>
        <v>7.5741348747404726E-5</v>
      </c>
      <c r="W160" s="2"/>
      <c r="X160" s="7">
        <f t="shared" si="115"/>
        <v>363.35</v>
      </c>
      <c r="Y160" s="2"/>
      <c r="Z160" s="6">
        <f t="shared" si="116"/>
        <v>1.4534</v>
      </c>
    </row>
    <row r="161" spans="1:26" s="24" customFormat="1" hidden="1" outlineLevel="2" x14ac:dyDescent="0.25">
      <c r="A161" s="26"/>
      <c r="B161" s="11" t="str">
        <f>CONCATENATE("          ", "6298", " - ", "VEHICLE MILEAGE")</f>
        <v xml:space="preserve">          6298 - VEHICLE MILEAGE</v>
      </c>
      <c r="C161" s="11"/>
      <c r="D161" s="7"/>
      <c r="E161" s="2"/>
      <c r="F161" s="6">
        <f t="shared" si="109"/>
        <v>0</v>
      </c>
      <c r="G161" s="2"/>
      <c r="H161" s="7">
        <v>25</v>
      </c>
      <c r="I161" s="2"/>
      <c r="J161" s="6">
        <f t="shared" si="110"/>
        <v>6.4235977286158436E-5</v>
      </c>
      <c r="K161" s="2"/>
      <c r="L161" s="7">
        <f t="shared" si="111"/>
        <v>-25</v>
      </c>
      <c r="M161" s="2"/>
      <c r="N161" s="6">
        <f t="shared" si="112"/>
        <v>-1</v>
      </c>
      <c r="O161" s="11"/>
      <c r="P161" s="7"/>
      <c r="Q161" s="2"/>
      <c r="R161" s="6">
        <f t="shared" si="113"/>
        <v>0</v>
      </c>
      <c r="S161" s="2"/>
      <c r="T161" s="7">
        <v>450</v>
      </c>
      <c r="U161" s="2"/>
      <c r="V161" s="6">
        <f t="shared" si="114"/>
        <v>1.363344277453285E-4</v>
      </c>
      <c r="W161" s="2"/>
      <c r="X161" s="7">
        <f t="shared" si="115"/>
        <v>-450</v>
      </c>
      <c r="Y161" s="2"/>
      <c r="Z161" s="6">
        <f t="shared" si="116"/>
        <v>-1</v>
      </c>
    </row>
    <row r="162" spans="1:26" s="25" customFormat="1" outlineLevel="1" collapsed="1" x14ac:dyDescent="0.25">
      <c r="A162" s="27"/>
      <c r="B162" s="13" t="str">
        <f>CONCATENATE("     ","Utilities                                         ")</f>
        <v xml:space="preserve">     Utilities                                         </v>
      </c>
      <c r="C162" s="13"/>
      <c r="D162" s="1">
        <f>SUM(OSRRefD22_22x_0)</f>
        <v>28.93</v>
      </c>
      <c r="E162" s="1"/>
      <c r="F162" s="5">
        <f t="shared" ref="F162:F163" si="117">IF(D$12=0,0,D162/D$12)</f>
        <v>7.07140231774316E-5</v>
      </c>
      <c r="G162" s="1"/>
      <c r="H162" s="1">
        <f>SUM(OSRRefH22_22x_0)</f>
        <v>105</v>
      </c>
      <c r="I162" s="1"/>
      <c r="J162" s="5">
        <f t="shared" ref="J162:J163" si="118">IF(H$12=0,0,H162/H$12)</f>
        <v>2.6979110460186544E-4</v>
      </c>
      <c r="K162" s="1"/>
      <c r="L162" s="1">
        <f t="shared" ref="L162:L163" si="119">+D162-H162</f>
        <v>-76.069999999999993</v>
      </c>
      <c r="M162" s="1"/>
      <c r="N162" s="5">
        <f t="shared" ref="N162:N163" si="120">IF(H162=0,0,L162/H162)</f>
        <v>-0.72447619047619038</v>
      </c>
      <c r="O162" s="13"/>
      <c r="P162" s="1">
        <f>SUM(OSRRefP22_22x_0)</f>
        <v>264.52999999999997</v>
      </c>
      <c r="Q162" s="1"/>
      <c r="R162" s="5">
        <f t="shared" ref="R162:R163" si="121">IF(P$12=0,0,P162/P$12)</f>
        <v>1.4018596248476745E-4</v>
      </c>
      <c r="S162" s="1"/>
      <c r="T162" s="1">
        <f>SUM(OSRRefT22_22x_0)</f>
        <v>4030</v>
      </c>
      <c r="U162" s="1"/>
      <c r="V162" s="5">
        <f t="shared" ref="V162:V163" si="122">IF(T$12=0,0,T162/T$12)</f>
        <v>1.220950541808164E-3</v>
      </c>
      <c r="W162" s="1"/>
      <c r="X162" s="1">
        <f t="shared" ref="X162:X163" si="123">+P162-T162</f>
        <v>-3765.4700000000003</v>
      </c>
      <c r="Y162" s="1"/>
      <c r="Z162" s="5">
        <f t="shared" ref="Z162:Z163" si="124">IF(T162=0,0,X162/T162)</f>
        <v>-0.9343598014888338</v>
      </c>
    </row>
    <row r="163" spans="1:26" s="24" customFormat="1" hidden="1" outlineLevel="2" x14ac:dyDescent="0.25">
      <c r="A163" s="26"/>
      <c r="B163" s="11" t="str">
        <f>CONCATENATE("          ", "6274", " - ", "UTILITIES")</f>
        <v xml:space="preserve">          6274 - UTILITIES</v>
      </c>
      <c r="C163" s="11"/>
      <c r="D163" s="7">
        <v>28.93</v>
      </c>
      <c r="E163" s="2"/>
      <c r="F163" s="6">
        <f t="shared" si="117"/>
        <v>7.07140231774316E-5</v>
      </c>
      <c r="G163" s="2"/>
      <c r="H163" s="7">
        <v>105</v>
      </c>
      <c r="I163" s="2"/>
      <c r="J163" s="6">
        <f t="shared" si="118"/>
        <v>2.6979110460186544E-4</v>
      </c>
      <c r="K163" s="2"/>
      <c r="L163" s="7">
        <f t="shared" si="119"/>
        <v>-76.069999999999993</v>
      </c>
      <c r="M163" s="2"/>
      <c r="N163" s="6">
        <f t="shared" si="120"/>
        <v>-0.72447619047619038</v>
      </c>
      <c r="O163" s="11"/>
      <c r="P163" s="7">
        <v>264.52999999999997</v>
      </c>
      <c r="Q163" s="2"/>
      <c r="R163" s="6">
        <f t="shared" si="121"/>
        <v>1.4018596248476745E-4</v>
      </c>
      <c r="S163" s="2"/>
      <c r="T163" s="7">
        <v>4030</v>
      </c>
      <c r="U163" s="2"/>
      <c r="V163" s="6">
        <f t="shared" si="122"/>
        <v>1.220950541808164E-3</v>
      </c>
      <c r="W163" s="2"/>
      <c r="X163" s="7">
        <f t="shared" si="123"/>
        <v>-3765.4700000000003</v>
      </c>
      <c r="Y163" s="2"/>
      <c r="Z163" s="6">
        <f t="shared" si="124"/>
        <v>-0.9343598014888338</v>
      </c>
    </row>
    <row r="164" spans="1:26" s="61" customFormat="1" x14ac:dyDescent="0.25">
      <c r="A164" s="36"/>
      <c r="B164" s="36"/>
      <c r="C164" s="36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collapsed="1" x14ac:dyDescent="0.25">
      <c r="A165" s="10"/>
      <c r="B165" s="29" t="s">
        <v>293</v>
      </c>
      <c r="C165" s="10"/>
      <c r="D165" s="4">
        <f>SUM(OSRRefD25x_0)</f>
        <v>18017.009999999998</v>
      </c>
      <c r="E165" s="4"/>
      <c r="F165" s="12">
        <f t="shared" ref="F165:F169" si="125">IF(D$12=0,0,D165/D$12)</f>
        <v>4.4039241711995053E-2</v>
      </c>
      <c r="G165" s="4"/>
      <c r="H165" s="4">
        <f>SUM(OSRRefH25x_0)</f>
        <v>8075</v>
      </c>
      <c r="I165" s="4"/>
      <c r="J165" s="12">
        <f t="shared" ref="J165:J169" si="126">IF(H$12=0,0,H165/H$12)</f>
        <v>2.0748220663429174E-2</v>
      </c>
      <c r="K165" s="4"/>
      <c r="L165" s="4">
        <f t="shared" ref="L165:L169" si="127">+D165-H165</f>
        <v>9942.0099999999984</v>
      </c>
      <c r="M165" s="4"/>
      <c r="N165" s="12">
        <f t="shared" ref="N165:N169" si="128">IF(H165=0,0,L165/H165)</f>
        <v>1.23120866873065</v>
      </c>
      <c r="O165" s="10"/>
      <c r="P165" s="4">
        <f>SUM(OSRRefP25x_0)</f>
        <v>410824.77999999997</v>
      </c>
      <c r="Q165" s="4"/>
      <c r="R165" s="12">
        <f t="shared" ref="R165:R169" si="129">IF(P$12=0,0,P165/P$12)</f>
        <v>0.21771393489166765</v>
      </c>
      <c r="S165" s="4"/>
      <c r="T165" s="4">
        <f>SUM(OSRRefT25x_0)</f>
        <v>427990</v>
      </c>
      <c r="U165" s="4"/>
      <c r="V165" s="12">
        <f t="shared" ref="V165:V169" si="130">IF(T$12=0,0,T165/T$12)</f>
        <v>0.129666159401607</v>
      </c>
      <c r="W165" s="4"/>
      <c r="X165" s="4">
        <f t="shared" ref="X165:X169" si="131">+P165-T165</f>
        <v>-17165.22000000003</v>
      </c>
      <c r="Y165" s="4"/>
      <c r="Z165" s="12">
        <f t="shared" ref="Z165:Z169" si="132">IF(T165=0,0,X165/T165)</f>
        <v>-4.0106591275497164E-2</v>
      </c>
    </row>
    <row r="166" spans="1:26" s="24" customFormat="1" hidden="1" outlineLevel="1" x14ac:dyDescent="0.25">
      <c r="A166" s="44"/>
      <c r="B166" s="11" t="str">
        <f>CONCATENATE("          ", "4098", " - ", "TAXABLE SALES-GRAD RENTALS")</f>
        <v xml:space="preserve">          4098 - TAXABLE SALES-GRAD RENTALS</v>
      </c>
      <c r="C166" s="11"/>
      <c r="D166" s="2">
        <f>--49.95</f>
        <v>49.95</v>
      </c>
      <c r="E166" s="2"/>
      <c r="F166" s="19">
        <f t="shared" si="125"/>
        <v>1.2209351737686516E-4</v>
      </c>
      <c r="G166" s="2"/>
      <c r="H166" s="2"/>
      <c r="I166" s="2"/>
      <c r="J166" s="19">
        <f t="shared" si="126"/>
        <v>0</v>
      </c>
      <c r="K166" s="2"/>
      <c r="L166" s="2">
        <f t="shared" si="127"/>
        <v>49.95</v>
      </c>
      <c r="M166" s="2"/>
      <c r="N166" s="19">
        <f t="shared" si="128"/>
        <v>0</v>
      </c>
      <c r="O166" s="11"/>
      <c r="P166" s="2">
        <f>--49.95</f>
        <v>49.95</v>
      </c>
      <c r="Q166" s="2"/>
      <c r="R166" s="19">
        <f t="shared" si="129"/>
        <v>2.6470679416754755E-5</v>
      </c>
      <c r="S166" s="2"/>
      <c r="T166" s="2"/>
      <c r="U166" s="2"/>
      <c r="V166" s="19">
        <f t="shared" si="130"/>
        <v>0</v>
      </c>
      <c r="W166" s="2"/>
      <c r="X166" s="2">
        <f t="shared" si="131"/>
        <v>49.95</v>
      </c>
      <c r="Y166" s="2"/>
      <c r="Z166" s="19">
        <f t="shared" si="132"/>
        <v>0</v>
      </c>
    </row>
    <row r="167" spans="1:26" s="24" customFormat="1" hidden="1" outlineLevel="1" x14ac:dyDescent="0.25">
      <c r="A167" s="44"/>
      <c r="B167" s="11" t="str">
        <f>CONCATENATE("          ", "9150", " - ", "MISC. INCOME")</f>
        <v xml:space="preserve">          9150 - MISC. INCOME</v>
      </c>
      <c r="C167" s="11"/>
      <c r="D167" s="2">
        <f>--17922.96</f>
        <v>17922.96</v>
      </c>
      <c r="E167" s="2"/>
      <c r="F167" s="19">
        <f t="shared" si="125"/>
        <v>4.3809353918015187E-2</v>
      </c>
      <c r="G167" s="2"/>
      <c r="H167" s="2">
        <v>8075</v>
      </c>
      <c r="I167" s="2"/>
      <c r="J167" s="19">
        <f t="shared" si="126"/>
        <v>2.0748220663429174E-2</v>
      </c>
      <c r="K167" s="2"/>
      <c r="L167" s="2">
        <f t="shared" si="127"/>
        <v>9847.9599999999991</v>
      </c>
      <c r="M167" s="2"/>
      <c r="N167" s="19">
        <f t="shared" si="128"/>
        <v>1.2195616099071207</v>
      </c>
      <c r="O167" s="11"/>
      <c r="P167" s="2">
        <f>--64296.27</f>
        <v>64296.27</v>
      </c>
      <c r="Q167" s="2"/>
      <c r="R167" s="19">
        <f t="shared" si="129"/>
        <v>3.4073392409671797E-2</v>
      </c>
      <c r="S167" s="2"/>
      <c r="T167" s="2">
        <v>80750</v>
      </c>
      <c r="U167" s="2"/>
      <c r="V167" s="19">
        <f t="shared" si="130"/>
        <v>2.4464455645411727E-2</v>
      </c>
      <c r="W167" s="2"/>
      <c r="X167" s="2">
        <f t="shared" si="131"/>
        <v>-16453.730000000003</v>
      </c>
      <c r="Y167" s="2"/>
      <c r="Z167" s="19">
        <f t="shared" si="132"/>
        <v>-0.20376136222910221</v>
      </c>
    </row>
    <row r="168" spans="1:26" s="24" customFormat="1" hidden="1" outlineLevel="1" x14ac:dyDescent="0.25">
      <c r="A168" s="44"/>
      <c r="B168" s="11" t="str">
        <f>CONCATENATE("          ", "9151", " - ", "MISC. INCOME")</f>
        <v xml:space="preserve">          9151 - MISC. INCOME</v>
      </c>
      <c r="C168" s="11"/>
      <c r="D168" s="2">
        <f>0</f>
        <v>0</v>
      </c>
      <c r="E168" s="2"/>
      <c r="F168" s="19">
        <f t="shared" si="125"/>
        <v>0</v>
      </c>
      <c r="G168" s="2"/>
      <c r="H168" s="2">
        <v>0</v>
      </c>
      <c r="I168" s="2"/>
      <c r="J168" s="19">
        <f t="shared" si="126"/>
        <v>0</v>
      </c>
      <c r="K168" s="2"/>
      <c r="L168" s="2">
        <f t="shared" si="127"/>
        <v>0</v>
      </c>
      <c r="M168" s="2"/>
      <c r="N168" s="19">
        <f t="shared" si="128"/>
        <v>0</v>
      </c>
      <c r="O168" s="11"/>
      <c r="P168" s="2">
        <f>0</f>
        <v>0</v>
      </c>
      <c r="Q168" s="2"/>
      <c r="R168" s="19">
        <f t="shared" si="129"/>
        <v>0</v>
      </c>
      <c r="S168" s="2"/>
      <c r="T168" s="2">
        <v>347240</v>
      </c>
      <c r="U168" s="2"/>
      <c r="V168" s="19">
        <f t="shared" si="130"/>
        <v>0.10520170375619527</v>
      </c>
      <c r="W168" s="2"/>
      <c r="X168" s="2">
        <f t="shared" si="131"/>
        <v>-347240</v>
      </c>
      <c r="Y168" s="2"/>
      <c r="Z168" s="19">
        <f t="shared" si="132"/>
        <v>-1</v>
      </c>
    </row>
    <row r="169" spans="1:26" s="24" customFormat="1" hidden="1" outlineLevel="1" x14ac:dyDescent="0.25">
      <c r="A169" s="44"/>
      <c r="B169" s="11" t="str">
        <f>CONCATENATE("          ", "9163", " - ", "MISC. INCOME")</f>
        <v xml:space="preserve">          9163 - MISC. INCOME</v>
      </c>
      <c r="C169" s="11"/>
      <c r="D169" s="2">
        <f>--44.1</f>
        <v>44.1</v>
      </c>
      <c r="E169" s="2"/>
      <c r="F169" s="19">
        <f t="shared" si="125"/>
        <v>1.0779427660299805E-4</v>
      </c>
      <c r="G169" s="2"/>
      <c r="H169" s="2"/>
      <c r="I169" s="2"/>
      <c r="J169" s="19">
        <f t="shared" si="126"/>
        <v>0</v>
      </c>
      <c r="K169" s="2"/>
      <c r="L169" s="2">
        <f t="shared" si="127"/>
        <v>44.1</v>
      </c>
      <c r="M169" s="2"/>
      <c r="N169" s="19">
        <f t="shared" si="128"/>
        <v>0</v>
      </c>
      <c r="O169" s="11"/>
      <c r="P169" s="2">
        <f>--346478.56</f>
        <v>346478.56</v>
      </c>
      <c r="Q169" s="2"/>
      <c r="R169" s="19">
        <f t="shared" si="129"/>
        <v>0.18361407180257913</v>
      </c>
      <c r="S169" s="2"/>
      <c r="T169" s="2"/>
      <c r="U169" s="2"/>
      <c r="V169" s="19">
        <f t="shared" si="130"/>
        <v>0</v>
      </c>
      <c r="W169" s="2"/>
      <c r="X169" s="2">
        <f t="shared" si="131"/>
        <v>346478.56</v>
      </c>
      <c r="Y169" s="2"/>
      <c r="Z169" s="19">
        <f t="shared" si="132"/>
        <v>0</v>
      </c>
    </row>
    <row r="170" spans="1:26" x14ac:dyDescent="0.25">
      <c r="A170" s="9"/>
      <c r="B170" s="10"/>
      <c r="C170" s="10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O170" s="10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x14ac:dyDescent="0.25">
      <c r="A171" s="10"/>
      <c r="B171" s="28" t="s">
        <v>277</v>
      </c>
      <c r="C171" s="28"/>
      <c r="D171" s="21">
        <f>+D78-D80+D165</f>
        <v>153803.97000000003</v>
      </c>
      <c r="E171" s="14"/>
      <c r="F171" s="20">
        <f>IF(D$12=0,0,D171/D$12)</f>
        <v>0.37594529897549245</v>
      </c>
      <c r="G171" s="14"/>
      <c r="H171" s="21">
        <f>+H78-H80+H165</f>
        <v>77457.028027346096</v>
      </c>
      <c r="I171" s="14"/>
      <c r="J171" s="20">
        <f>IF(H$12=0,0,H171/H$12)</f>
        <v>0.19902111572071762</v>
      </c>
      <c r="K171" s="16"/>
      <c r="L171" s="21">
        <f>+D171-H171</f>
        <v>76346.941972653934</v>
      </c>
      <c r="M171" s="16"/>
      <c r="N171" s="20">
        <f>IF(H171=0,0,L171/H171)</f>
        <v>0.98566836240734346</v>
      </c>
      <c r="O171" s="29"/>
      <c r="P171" s="21">
        <f>+P78-P80+P165</f>
        <v>582385.27999999956</v>
      </c>
      <c r="Q171" s="14"/>
      <c r="R171" s="20">
        <f>IF(P$12=0,0,P171/P$12)</f>
        <v>0.30863131219052936</v>
      </c>
      <c r="S171" s="14"/>
      <c r="T171" s="21">
        <f>+T78-T80+T165</f>
        <v>932742.98085384606</v>
      </c>
      <c r="U171" s="14"/>
      <c r="V171" s="20">
        <f>IF(T$12=0,0,T171/T$12)</f>
        <v>0.28258884561817998</v>
      </c>
      <c r="W171" s="16"/>
      <c r="X171" s="21">
        <f>+P171-T171</f>
        <v>-350357.7008538465</v>
      </c>
      <c r="Y171" s="16"/>
      <c r="Z171" s="20">
        <f>IF(T171=0,0,X171/T171)</f>
        <v>-0.37562083880076386</v>
      </c>
    </row>
    <row r="172" spans="1:26" x14ac:dyDescent="0.25">
      <c r="A172" s="9"/>
      <c r="B172" s="10"/>
      <c r="C172" s="9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s="23" customFormat="1" x14ac:dyDescent="0.25">
      <c r="A173" s="52"/>
      <c r="B173" s="10" t="s">
        <v>128</v>
      </c>
      <c r="C173" s="10"/>
      <c r="D173" s="4">
        <v>90188</v>
      </c>
      <c r="E173" s="4"/>
      <c r="F173" s="12">
        <f>IF(D$12=0,0,D173/D$12)</f>
        <v>0.22044785075444873</v>
      </c>
      <c r="G173" s="4"/>
      <c r="H173" s="4">
        <v>83041</v>
      </c>
      <c r="I173" s="4"/>
      <c r="J173" s="12">
        <f>IF(H$12=0,0,H173/H$12)</f>
        <v>0.21336879159279529</v>
      </c>
      <c r="K173" s="4"/>
      <c r="L173" s="4">
        <f>+D173-H173</f>
        <v>7147</v>
      </c>
      <c r="M173" s="4"/>
      <c r="N173" s="12">
        <f>IF(H173=0,0,L173/H173)</f>
        <v>8.6065919244710451E-2</v>
      </c>
      <c r="O173" s="10"/>
      <c r="P173" s="4">
        <v>394766.7</v>
      </c>
      <c r="Q173" s="4"/>
      <c r="R173" s="12">
        <f>IF(P$12=0,0,P173/P$12)</f>
        <v>0.20920405926146546</v>
      </c>
      <c r="S173" s="4"/>
      <c r="T173" s="4">
        <v>597914</v>
      </c>
      <c r="U173" s="4"/>
      <c r="V173" s="12">
        <f>IF(T$12=0,0,T173/T$12)</f>
        <v>0.181147251179823</v>
      </c>
      <c r="W173" s="4"/>
      <c r="X173" s="4">
        <f>+P173-T173</f>
        <v>-203147.3</v>
      </c>
      <c r="Y173" s="4"/>
      <c r="Z173" s="12">
        <f>IF(T173=0,0,X173/T173)</f>
        <v>-0.33976006582886498</v>
      </c>
    </row>
    <row r="174" spans="1:26" x14ac:dyDescent="0.25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ht="15.75" thickBot="1" x14ac:dyDescent="0.3">
      <c r="A175" s="10"/>
      <c r="B175" s="28" t="s">
        <v>126</v>
      </c>
      <c r="C175" s="28"/>
      <c r="D175" s="31">
        <f>+D171-D173</f>
        <v>63615.97000000003</v>
      </c>
      <c r="E175" s="14"/>
      <c r="F175" s="33">
        <f>IF(D$12=0,0,D175/D$12)</f>
        <v>0.15549744822104375</v>
      </c>
      <c r="G175" s="14"/>
      <c r="H175" s="31">
        <f>+H171-H173</f>
        <v>-5583.9719726539042</v>
      </c>
      <c r="I175" s="14"/>
      <c r="J175" s="33">
        <f>IF(H$12=0,0,H175/H$12)</f>
        <v>-1.4347675872077659E-2</v>
      </c>
      <c r="K175" s="16"/>
      <c r="L175" s="31">
        <f>D175-H175</f>
        <v>69199.941972653934</v>
      </c>
      <c r="M175" s="16"/>
      <c r="N175" s="33">
        <f>IF(H175=0,0,L175/H175)</f>
        <v>-12.392601952793319</v>
      </c>
      <c r="O175" s="29"/>
      <c r="P175" s="31">
        <f>+P171-P173</f>
        <v>187618.57999999955</v>
      </c>
      <c r="Q175" s="14"/>
      <c r="R175" s="33">
        <f>IF(P$12=0,0,P175/P$12)</f>
        <v>9.9427252929063931E-2</v>
      </c>
      <c r="S175" s="14"/>
      <c r="T175" s="31">
        <f>+T171-T173</f>
        <v>334828.98085384606</v>
      </c>
      <c r="U175" s="14"/>
      <c r="V175" s="33">
        <f>IF(T$12=0,0,T175/T$12)</f>
        <v>0.10144159443835701</v>
      </c>
      <c r="W175" s="16"/>
      <c r="X175" s="31">
        <f>P175-T175</f>
        <v>-147210.40085384651</v>
      </c>
      <c r="Y175" s="16"/>
      <c r="Z175" s="33">
        <f>IF(T175=0,0,X175/T175)</f>
        <v>-0.43965848021412557</v>
      </c>
    </row>
    <row r="176" spans="1:26" ht="15.75" thickTop="1" x14ac:dyDescent="0.25">
      <c r="A176" s="9"/>
      <c r="B176" s="9"/>
      <c r="C176" s="9"/>
      <c r="D176" s="3"/>
      <c r="E176" s="3"/>
      <c r="F176" s="8"/>
      <c r="G176" s="3"/>
      <c r="H176" s="3"/>
      <c r="I176" s="3"/>
      <c r="J176" s="8"/>
      <c r="K176" s="3"/>
      <c r="L176" s="3"/>
      <c r="M176" s="3"/>
      <c r="N176" s="8"/>
      <c r="P176" s="3"/>
      <c r="Q176" s="3"/>
      <c r="R176" s="8"/>
      <c r="S176" s="3"/>
      <c r="T176" s="3"/>
      <c r="U176" s="3"/>
      <c r="V176" s="8"/>
      <c r="W176" s="3"/>
      <c r="X176" s="3"/>
      <c r="Y176" s="3"/>
      <c r="Z176" s="8"/>
    </row>
    <row r="177" spans="1:26" x14ac:dyDescent="0.25">
      <c r="A177" s="9"/>
      <c r="B177" s="9"/>
      <c r="C177" s="9"/>
      <c r="D177" s="3"/>
      <c r="E177" s="3"/>
      <c r="F177" s="8"/>
      <c r="G177" s="3"/>
      <c r="H177" s="3"/>
      <c r="I177" s="3"/>
      <c r="J177" s="8"/>
      <c r="K177" s="3"/>
      <c r="L177" s="3"/>
      <c r="M177" s="3"/>
      <c r="N177" s="8"/>
      <c r="P177" s="3"/>
      <c r="Q177" s="3"/>
      <c r="R177" s="8"/>
      <c r="S177" s="3"/>
      <c r="T177" s="3"/>
      <c r="U177" s="3"/>
      <c r="V177" s="8"/>
      <c r="W177" s="3"/>
      <c r="X177" s="3"/>
      <c r="Y177" s="3"/>
      <c r="Z177" s="8"/>
    </row>
    <row r="178" spans="1:26" s="23" customFormat="1" ht="15.75" thickBot="1" x14ac:dyDescent="0.3">
      <c r="A178" s="10"/>
      <c r="B178" s="28" t="s">
        <v>294</v>
      </c>
      <c r="C178" s="28"/>
      <c r="D178" s="34">
        <f>SUM(D175:D177)</f>
        <v>63615.97000000003</v>
      </c>
      <c r="E178" s="14"/>
      <c r="F178" s="35">
        <f>IF(D$12=0,0,D178/D$12)</f>
        <v>0.15549744822104375</v>
      </c>
      <c r="G178" s="14"/>
      <c r="H178" s="34">
        <f>SUM(H175:H177)</f>
        <v>-5583.9719726539042</v>
      </c>
      <c r="I178" s="14"/>
      <c r="J178" s="35">
        <f>IF(H$12=0,0,H178/H$12)</f>
        <v>-1.4347675872077659E-2</v>
      </c>
      <c r="K178" s="16"/>
      <c r="L178" s="34">
        <f>+D178-H178</f>
        <v>69199.941972653934</v>
      </c>
      <c r="M178" s="16"/>
      <c r="N178" s="35">
        <f>IF(H178=0,0,L178/H178)</f>
        <v>-12.392601952793319</v>
      </c>
      <c r="O178" s="29"/>
      <c r="P178" s="34">
        <f>SUM(P175:P177)</f>
        <v>187618.57999999955</v>
      </c>
      <c r="Q178" s="14"/>
      <c r="R178" s="35">
        <f>IF(P$12=0,0,P178/P$12)</f>
        <v>9.9427252929063931E-2</v>
      </c>
      <c r="S178" s="14"/>
      <c r="T178" s="34">
        <f>SUM(T175:T177)</f>
        <v>334828.98085384606</v>
      </c>
      <c r="U178" s="14"/>
      <c r="V178" s="35">
        <f>IF(T$12=0,0,T178/T$12)</f>
        <v>0.10144159443835701</v>
      </c>
      <c r="W178" s="16"/>
      <c r="X178" s="34">
        <f>+P178-T178</f>
        <v>-147210.40085384651</v>
      </c>
      <c r="Y178" s="16"/>
      <c r="Z178" s="35">
        <f>IF(T178=0,0,X178/T178)</f>
        <v>-0.43965848021412557</v>
      </c>
    </row>
    <row r="179" spans="1:26" ht="15.75" thickTop="1" x14ac:dyDescent="0.25">
      <c r="A179" s="9"/>
      <c r="C179" s="9"/>
      <c r="D179" s="18"/>
      <c r="E179" s="18"/>
      <c r="G179" s="18"/>
      <c r="H179" s="18"/>
      <c r="I179" s="18"/>
      <c r="J179" s="43"/>
      <c r="K179" s="18"/>
      <c r="L179" s="18"/>
      <c r="M179" s="18"/>
      <c r="P179" s="18"/>
      <c r="Q179" s="18"/>
      <c r="R179" s="43"/>
      <c r="S179" s="18"/>
      <c r="T179" s="18"/>
      <c r="U179" s="18"/>
      <c r="V179" s="43"/>
      <c r="W179" s="18"/>
      <c r="X179" s="18"/>
    </row>
    <row r="180" spans="1:26" x14ac:dyDescent="0.25">
      <c r="A180" s="9"/>
      <c r="B180" s="62">
        <v>44330.005802002313</v>
      </c>
      <c r="D180" s="18"/>
      <c r="E180" s="18"/>
      <c r="G180" s="18"/>
      <c r="H180" s="18"/>
      <c r="I180" s="18"/>
      <c r="J180" s="43"/>
      <c r="K180" s="18"/>
      <c r="L180" s="18"/>
      <c r="M180" s="18"/>
      <c r="P180" s="18"/>
      <c r="Q180" s="18"/>
      <c r="R180" s="43"/>
      <c r="S180" s="18"/>
      <c r="T180" s="18"/>
      <c r="U180" s="18"/>
      <c r="V180" s="43"/>
      <c r="W180" s="18"/>
      <c r="X180" s="18"/>
    </row>
    <row r="181" spans="1:26" x14ac:dyDescent="0.25">
      <c r="A181" s="9"/>
      <c r="B181" s="56" t="s">
        <v>56</v>
      </c>
      <c r="D181" s="18"/>
      <c r="E181" s="18"/>
      <c r="G181" s="18"/>
      <c r="H181" s="18"/>
      <c r="I181" s="18"/>
      <c r="J181" s="43"/>
      <c r="K181" s="18"/>
      <c r="L181" s="18"/>
      <c r="M181" s="18"/>
      <c r="P181" s="18"/>
      <c r="Q181" s="18"/>
      <c r="R181" s="43"/>
      <c r="S181" s="18"/>
      <c r="T181" s="18"/>
      <c r="U181" s="18"/>
      <c r="V181" s="43"/>
      <c r="W181" s="18"/>
      <c r="X181" s="18"/>
    </row>
    <row r="182" spans="1:26" x14ac:dyDescent="0.25">
      <c r="A182" s="9"/>
      <c r="B182" s="55"/>
      <c r="D182" s="18"/>
      <c r="E182" s="18"/>
      <c r="G182" s="18"/>
      <c r="H182" s="18"/>
      <c r="I182" s="18"/>
      <c r="J182" s="43"/>
      <c r="K182" s="18"/>
      <c r="L182" s="18"/>
      <c r="M182" s="18"/>
      <c r="P182" s="18"/>
      <c r="Q182" s="18"/>
      <c r="R182" s="43"/>
      <c r="S182" s="18"/>
      <c r="T182" s="18"/>
      <c r="U182" s="18"/>
      <c r="V182" s="43"/>
      <c r="W182" s="18"/>
      <c r="X182" s="18"/>
    </row>
    <row r="183" spans="1:26" x14ac:dyDescent="0.25">
      <c r="D183" s="18"/>
      <c r="E183" s="18"/>
      <c r="G183" s="18"/>
      <c r="H183" s="18"/>
      <c r="I183" s="18"/>
      <c r="J183" s="43"/>
      <c r="K183" s="18"/>
      <c r="L183" s="18"/>
      <c r="M183" s="18"/>
      <c r="P183" s="18"/>
      <c r="Q183" s="18"/>
      <c r="R183" s="43"/>
      <c r="S183" s="18"/>
      <c r="T183" s="18"/>
      <c r="U183" s="18"/>
      <c r="V183" s="43"/>
      <c r="W183" s="18"/>
      <c r="X183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366093.7199999998</v>
      </c>
      <c r="E12" s="4"/>
      <c r="F12" s="12"/>
      <c r="G12" s="4"/>
      <c r="H12" s="4">
        <f>SUM(OSRRefH13x_0)</f>
        <v>339335</v>
      </c>
      <c r="I12" s="4"/>
      <c r="J12" s="12"/>
      <c r="K12" s="4"/>
      <c r="L12" s="4">
        <f t="shared" ref="L12:L50" si="0">+D12-H12</f>
        <v>26758.719999999797</v>
      </c>
      <c r="M12" s="4"/>
      <c r="N12" s="12">
        <f t="shared" ref="N12:N50" si="1">IF(H12=0,0,L12/H12)</f>
        <v>7.885635139316545E-2</v>
      </c>
      <c r="O12" s="10"/>
      <c r="P12" s="4">
        <f>SUM(OSRRefP13x_0)</f>
        <v>1635688.6699999995</v>
      </c>
      <c r="Q12" s="4"/>
      <c r="R12" s="12"/>
      <c r="S12" s="4"/>
      <c r="T12" s="4">
        <f>SUM(OSRRefT13x_0)</f>
        <v>2828302</v>
      </c>
      <c r="U12" s="4"/>
      <c r="V12" s="12"/>
      <c r="W12" s="4"/>
      <c r="X12" s="4">
        <f t="shared" ref="X12:X50" si="2">+P12-T12</f>
        <v>-1192613.3300000005</v>
      </c>
      <c r="Y12" s="4"/>
      <c r="Z12" s="12">
        <f t="shared" ref="Z12:Z50" si="3">IF(T12=0,0,X12/T12)</f>
        <v>-0.42167114049348359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-12462.04</f>
        <v>-12462.04</v>
      </c>
      <c r="E13" s="2"/>
      <c r="F13" s="19"/>
      <c r="G13" s="2"/>
      <c r="H13" s="2">
        <v>339335</v>
      </c>
      <c r="I13" s="2"/>
      <c r="J13" s="19"/>
      <c r="K13" s="2"/>
      <c r="L13" s="2">
        <f t="shared" si="0"/>
        <v>-351797.04</v>
      </c>
      <c r="M13" s="2"/>
      <c r="N13" s="19">
        <f t="shared" si="1"/>
        <v>-1.0367248883846345</v>
      </c>
      <c r="O13" s="11"/>
      <c r="P13" s="2">
        <f>-117418.26</f>
        <v>-117418.26</v>
      </c>
      <c r="Q13" s="2"/>
      <c r="R13" s="19"/>
      <c r="S13" s="2"/>
      <c r="T13" s="2">
        <v>2828302</v>
      </c>
      <c r="U13" s="2"/>
      <c r="V13" s="19"/>
      <c r="W13" s="2"/>
      <c r="X13" s="2">
        <f t="shared" si="2"/>
        <v>-2945720.26</v>
      </c>
      <c r="Y13" s="2"/>
      <c r="Z13" s="19">
        <f t="shared" si="3"/>
        <v>-1.0415154605130568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/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--6537.78</f>
        <v>6537.78</v>
      </c>
      <c r="E15" s="2"/>
      <c r="F15" s="19"/>
      <c r="G15" s="2"/>
      <c r="H15" s="2"/>
      <c r="I15" s="2"/>
      <c r="J15" s="19"/>
      <c r="K15" s="2"/>
      <c r="L15" s="2">
        <f t="shared" si="0"/>
        <v>6537.78</v>
      </c>
      <c r="M15" s="2"/>
      <c r="N15" s="19">
        <f t="shared" si="1"/>
        <v>0</v>
      </c>
      <c r="O15" s="11"/>
      <c r="P15" s="2">
        <f>--55666.73</f>
        <v>55666.73</v>
      </c>
      <c r="Q15" s="2"/>
      <c r="R15" s="19"/>
      <c r="S15" s="2"/>
      <c r="T15" s="2"/>
      <c r="U15" s="2"/>
      <c r="V15" s="19"/>
      <c r="W15" s="2"/>
      <c r="X15" s="2">
        <f t="shared" si="2"/>
        <v>55666.73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--2650.79</f>
        <v>2650.79</v>
      </c>
      <c r="E16" s="2"/>
      <c r="F16" s="19"/>
      <c r="G16" s="2"/>
      <c r="H16" s="2"/>
      <c r="I16" s="2"/>
      <c r="J16" s="19"/>
      <c r="K16" s="2"/>
      <c r="L16" s="2">
        <f t="shared" si="0"/>
        <v>2650.79</v>
      </c>
      <c r="M16" s="2"/>
      <c r="N16" s="19">
        <f t="shared" si="1"/>
        <v>0</v>
      </c>
      <c r="O16" s="11"/>
      <c r="P16" s="2">
        <f>--34391.88</f>
        <v>34391.879999999997</v>
      </c>
      <c r="Q16" s="2"/>
      <c r="R16" s="19"/>
      <c r="S16" s="2"/>
      <c r="T16" s="2"/>
      <c r="U16" s="2"/>
      <c r="V16" s="19"/>
      <c r="W16" s="2"/>
      <c r="X16" s="2">
        <f t="shared" si="2"/>
        <v>34391.879999999997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--595.72</f>
        <v>595.72</v>
      </c>
      <c r="E17" s="2"/>
      <c r="F17" s="19"/>
      <c r="G17" s="2"/>
      <c r="H17" s="2"/>
      <c r="I17" s="2"/>
      <c r="J17" s="19"/>
      <c r="K17" s="2"/>
      <c r="L17" s="2">
        <f t="shared" si="0"/>
        <v>595.72</v>
      </c>
      <c r="M17" s="2"/>
      <c r="N17" s="19">
        <f t="shared" si="1"/>
        <v>0</v>
      </c>
      <c r="O17" s="11"/>
      <c r="P17" s="2">
        <f>--3836.04</f>
        <v>3836.04</v>
      </c>
      <c r="Q17" s="2"/>
      <c r="R17" s="19"/>
      <c r="S17" s="2"/>
      <c r="T17" s="2"/>
      <c r="U17" s="2"/>
      <c r="V17" s="19"/>
      <c r="W17" s="2"/>
      <c r="X17" s="2">
        <f t="shared" si="2"/>
        <v>3836.04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--120917.64</f>
        <v>120917.64</v>
      </c>
      <c r="E19" s="2"/>
      <c r="F19" s="19"/>
      <c r="G19" s="2"/>
      <c r="H19" s="2"/>
      <c r="I19" s="2"/>
      <c r="J19" s="19"/>
      <c r="K19" s="2"/>
      <c r="L19" s="2">
        <f t="shared" si="0"/>
        <v>120917.64</v>
      </c>
      <c r="M19" s="2"/>
      <c r="N19" s="19">
        <f t="shared" si="1"/>
        <v>0</v>
      </c>
      <c r="O19" s="11"/>
      <c r="P19" s="2">
        <f>--701461.15</f>
        <v>701461.15</v>
      </c>
      <c r="Q19" s="2"/>
      <c r="R19" s="19"/>
      <c r="S19" s="2"/>
      <c r="T19" s="2"/>
      <c r="U19" s="2"/>
      <c r="V19" s="19"/>
      <c r="W19" s="2"/>
      <c r="X19" s="2">
        <f t="shared" si="2"/>
        <v>701461.15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--111502.01</f>
        <v>111502.01</v>
      </c>
      <c r="E20" s="2"/>
      <c r="F20" s="19"/>
      <c r="G20" s="2"/>
      <c r="H20" s="2"/>
      <c r="I20" s="2"/>
      <c r="J20" s="19"/>
      <c r="K20" s="2"/>
      <c r="L20" s="2">
        <f t="shared" si="0"/>
        <v>111502.01</v>
      </c>
      <c r="M20" s="2"/>
      <c r="N20" s="19">
        <f t="shared" si="1"/>
        <v>0</v>
      </c>
      <c r="O20" s="11"/>
      <c r="P20" s="2">
        <f>--316023.48</f>
        <v>316023.48</v>
      </c>
      <c r="Q20" s="2"/>
      <c r="R20" s="19"/>
      <c r="S20" s="2"/>
      <c r="T20" s="2"/>
      <c r="U20" s="2"/>
      <c r="V20" s="19"/>
      <c r="W20" s="2"/>
      <c r="X20" s="2">
        <f t="shared" si="2"/>
        <v>316023.48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--8378.21</f>
        <v>8378.2099999999991</v>
      </c>
      <c r="E21" s="2"/>
      <c r="F21" s="19"/>
      <c r="G21" s="2"/>
      <c r="H21" s="2"/>
      <c r="I21" s="2"/>
      <c r="J21" s="19"/>
      <c r="K21" s="2"/>
      <c r="L21" s="2">
        <f t="shared" si="0"/>
        <v>8378.2099999999991</v>
      </c>
      <c r="M21" s="2"/>
      <c r="N21" s="19">
        <f t="shared" si="1"/>
        <v>0</v>
      </c>
      <c r="O21" s="11"/>
      <c r="P21" s="2">
        <f>--74387.43</f>
        <v>74387.429999999993</v>
      </c>
      <c r="Q21" s="2"/>
      <c r="R21" s="19"/>
      <c r="S21" s="2"/>
      <c r="T21" s="2"/>
      <c r="U21" s="2"/>
      <c r="V21" s="19"/>
      <c r="W21" s="2"/>
      <c r="X21" s="2">
        <f t="shared" si="2"/>
        <v>74387.429999999993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--4165.86</f>
        <v>4165.8599999999997</v>
      </c>
      <c r="E22" s="2"/>
      <c r="F22" s="19"/>
      <c r="G22" s="2"/>
      <c r="H22" s="2"/>
      <c r="I22" s="2"/>
      <c r="J22" s="19"/>
      <c r="K22" s="2"/>
      <c r="L22" s="2">
        <f t="shared" si="0"/>
        <v>4165.8599999999997</v>
      </c>
      <c r="M22" s="2"/>
      <c r="N22" s="19">
        <f t="shared" si="1"/>
        <v>0</v>
      </c>
      <c r="O22" s="11"/>
      <c r="P22" s="2">
        <f>--125859.45</f>
        <v>125859.45</v>
      </c>
      <c r="Q22" s="2"/>
      <c r="R22" s="19"/>
      <c r="S22" s="2"/>
      <c r="T22" s="2"/>
      <c r="U22" s="2"/>
      <c r="V22" s="19"/>
      <c r="W22" s="2"/>
      <c r="X22" s="2">
        <f t="shared" si="2"/>
        <v>125859.45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--4255.52</f>
        <v>4255.5200000000004</v>
      </c>
      <c r="E23" s="2"/>
      <c r="F23" s="19"/>
      <c r="G23" s="2"/>
      <c r="H23" s="2"/>
      <c r="I23" s="2"/>
      <c r="J23" s="19"/>
      <c r="K23" s="2"/>
      <c r="L23" s="2">
        <f t="shared" si="0"/>
        <v>4255.5200000000004</v>
      </c>
      <c r="M23" s="2"/>
      <c r="N23" s="19">
        <f t="shared" si="1"/>
        <v>0</v>
      </c>
      <c r="O23" s="11"/>
      <c r="P23" s="2">
        <f>--33290.98</f>
        <v>33290.980000000003</v>
      </c>
      <c r="Q23" s="2"/>
      <c r="R23" s="19"/>
      <c r="S23" s="2"/>
      <c r="T23" s="2"/>
      <c r="U23" s="2"/>
      <c r="V23" s="19"/>
      <c r="W23" s="2"/>
      <c r="X23" s="2">
        <f t="shared" si="2"/>
        <v>33290.980000000003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--63044.9</f>
        <v>63044.9</v>
      </c>
      <c r="E24" s="2"/>
      <c r="F24" s="19"/>
      <c r="G24" s="2"/>
      <c r="H24" s="2"/>
      <c r="I24" s="2"/>
      <c r="J24" s="19"/>
      <c r="K24" s="2"/>
      <c r="L24" s="2">
        <f t="shared" si="0"/>
        <v>63044.9</v>
      </c>
      <c r="M24" s="2"/>
      <c r="N24" s="19">
        <f t="shared" si="1"/>
        <v>0</v>
      </c>
      <c r="O24" s="11"/>
      <c r="P24" s="2">
        <f>--206915.97</f>
        <v>206915.97</v>
      </c>
      <c r="Q24" s="2"/>
      <c r="R24" s="19"/>
      <c r="S24" s="2"/>
      <c r="T24" s="2"/>
      <c r="U24" s="2"/>
      <c r="V24" s="19"/>
      <c r="W24" s="2"/>
      <c r="X24" s="2">
        <f t="shared" si="2"/>
        <v>206915.97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--493.37</f>
        <v>493.37</v>
      </c>
      <c r="E26" s="2"/>
      <c r="F26" s="19"/>
      <c r="G26" s="2"/>
      <c r="H26" s="2"/>
      <c r="I26" s="2"/>
      <c r="J26" s="19"/>
      <c r="K26" s="2"/>
      <c r="L26" s="2">
        <f t="shared" si="0"/>
        <v>493.37</v>
      </c>
      <c r="M26" s="2"/>
      <c r="N26" s="19">
        <f t="shared" si="1"/>
        <v>0</v>
      </c>
      <c r="O26" s="11"/>
      <c r="P26" s="2">
        <f>--7100.68</f>
        <v>7100.68</v>
      </c>
      <c r="Q26" s="2"/>
      <c r="R26" s="19"/>
      <c r="S26" s="2"/>
      <c r="T26" s="2"/>
      <c r="U26" s="2"/>
      <c r="V26" s="19"/>
      <c r="W26" s="2"/>
      <c r="X26" s="2">
        <f t="shared" si="2"/>
        <v>7100.68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--31.37</f>
        <v>31.37</v>
      </c>
      <c r="E27" s="2"/>
      <c r="F27" s="19"/>
      <c r="G27" s="2"/>
      <c r="H27" s="2"/>
      <c r="I27" s="2"/>
      <c r="J27" s="19"/>
      <c r="K27" s="2"/>
      <c r="L27" s="2">
        <f t="shared" si="0"/>
        <v>31.37</v>
      </c>
      <c r="M27" s="2"/>
      <c r="N27" s="19">
        <f t="shared" si="1"/>
        <v>0</v>
      </c>
      <c r="O27" s="11"/>
      <c r="P27" s="2">
        <f>--69.95</f>
        <v>69.95</v>
      </c>
      <c r="Q27" s="2"/>
      <c r="R27" s="19"/>
      <c r="S27" s="2"/>
      <c r="T27" s="2"/>
      <c r="U27" s="2"/>
      <c r="V27" s="19"/>
      <c r="W27" s="2"/>
      <c r="X27" s="2">
        <f t="shared" si="2"/>
        <v>69.95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--960.93</f>
        <v>960.93</v>
      </c>
      <c r="E28" s="2"/>
      <c r="F28" s="19"/>
      <c r="G28" s="2"/>
      <c r="H28" s="2"/>
      <c r="I28" s="2"/>
      <c r="J28" s="19"/>
      <c r="K28" s="2"/>
      <c r="L28" s="2">
        <f t="shared" si="0"/>
        <v>960.93</v>
      </c>
      <c r="M28" s="2"/>
      <c r="N28" s="19">
        <f t="shared" si="1"/>
        <v>0</v>
      </c>
      <c r="O28" s="11"/>
      <c r="P28" s="2">
        <f>--9473.2</f>
        <v>9473.2000000000007</v>
      </c>
      <c r="Q28" s="2"/>
      <c r="R28" s="19"/>
      <c r="S28" s="2"/>
      <c r="T28" s="2"/>
      <c r="U28" s="2"/>
      <c r="V28" s="19"/>
      <c r="W28" s="2"/>
      <c r="X28" s="2">
        <f t="shared" si="2"/>
        <v>9473.2000000000007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/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--22915.85</f>
        <v>22915.85</v>
      </c>
      <c r="E33" s="2"/>
      <c r="F33" s="19"/>
      <c r="G33" s="2"/>
      <c r="H33" s="2"/>
      <c r="I33" s="2"/>
      <c r="J33" s="19"/>
      <c r="K33" s="2"/>
      <c r="L33" s="2">
        <f t="shared" si="0"/>
        <v>22915.85</v>
      </c>
      <c r="M33" s="2"/>
      <c r="N33" s="19">
        <f t="shared" si="1"/>
        <v>0</v>
      </c>
      <c r="O33" s="11"/>
      <c r="P33" s="2">
        <f>--154468.05</f>
        <v>154468.04999999999</v>
      </c>
      <c r="Q33" s="2"/>
      <c r="R33" s="19"/>
      <c r="S33" s="2"/>
      <c r="T33" s="2"/>
      <c r="U33" s="2"/>
      <c r="V33" s="19"/>
      <c r="W33" s="2"/>
      <c r="X33" s="2">
        <f t="shared" si="2"/>
        <v>154468.04999999999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--27227.97</f>
        <v>27227.97</v>
      </c>
      <c r="E34" s="2"/>
      <c r="F34" s="19"/>
      <c r="G34" s="2"/>
      <c r="H34" s="2"/>
      <c r="I34" s="2"/>
      <c r="J34" s="19"/>
      <c r="K34" s="2"/>
      <c r="L34" s="2">
        <f t="shared" si="0"/>
        <v>27227.97</v>
      </c>
      <c r="M34" s="2"/>
      <c r="N34" s="19">
        <f t="shared" si="1"/>
        <v>0</v>
      </c>
      <c r="O34" s="11"/>
      <c r="P34" s="2">
        <f>--35517.57</f>
        <v>35517.57</v>
      </c>
      <c r="Q34" s="2"/>
      <c r="R34" s="19"/>
      <c r="S34" s="2"/>
      <c r="T34" s="2"/>
      <c r="U34" s="2"/>
      <c r="V34" s="19"/>
      <c r="W34" s="2"/>
      <c r="X34" s="2">
        <f t="shared" si="2"/>
        <v>35517.57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--284.63</f>
        <v>284.63</v>
      </c>
      <c r="E35" s="2"/>
      <c r="F35" s="19"/>
      <c r="G35" s="2"/>
      <c r="H35" s="2"/>
      <c r="I35" s="2"/>
      <c r="J35" s="19"/>
      <c r="K35" s="2"/>
      <c r="L35" s="2">
        <f t="shared" si="0"/>
        <v>284.63</v>
      </c>
      <c r="M35" s="2"/>
      <c r="N35" s="19">
        <f t="shared" si="1"/>
        <v>0</v>
      </c>
      <c r="O35" s="11"/>
      <c r="P35" s="2">
        <f>--1455.41</f>
        <v>1455.41</v>
      </c>
      <c r="Q35" s="2"/>
      <c r="R35" s="19"/>
      <c r="S35" s="2"/>
      <c r="T35" s="2"/>
      <c r="U35" s="2"/>
      <c r="V35" s="19"/>
      <c r="W35" s="2"/>
      <c r="X35" s="2">
        <f t="shared" si="2"/>
        <v>1455.41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--49.97</f>
        <v>49.97</v>
      </c>
      <c r="E36" s="2"/>
      <c r="F36" s="19"/>
      <c r="G36" s="2"/>
      <c r="H36" s="2"/>
      <c r="I36" s="2"/>
      <c r="J36" s="19"/>
      <c r="K36" s="2"/>
      <c r="L36" s="2">
        <f t="shared" si="0"/>
        <v>49.97</v>
      </c>
      <c r="M36" s="2"/>
      <c r="N36" s="19">
        <f t="shared" si="1"/>
        <v>0</v>
      </c>
      <c r="O36" s="11"/>
      <c r="P36" s="2">
        <f>--2431.45</f>
        <v>2431.4499999999998</v>
      </c>
      <c r="Q36" s="2"/>
      <c r="R36" s="19"/>
      <c r="S36" s="2"/>
      <c r="T36" s="2"/>
      <c r="U36" s="2"/>
      <c r="V36" s="19"/>
      <c r="W36" s="2"/>
      <c r="X36" s="2">
        <f t="shared" si="2"/>
        <v>2431.4499999999998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--29.85</f>
        <v>29.85</v>
      </c>
      <c r="E37" s="2"/>
      <c r="F37" s="19"/>
      <c r="G37" s="2"/>
      <c r="H37" s="2"/>
      <c r="I37" s="2"/>
      <c r="J37" s="19"/>
      <c r="K37" s="2"/>
      <c r="L37" s="2">
        <f t="shared" si="0"/>
        <v>29.85</v>
      </c>
      <c r="M37" s="2"/>
      <c r="N37" s="19">
        <f t="shared" si="1"/>
        <v>0</v>
      </c>
      <c r="O37" s="11"/>
      <c r="P37" s="2">
        <f>--709.1</f>
        <v>709.1</v>
      </c>
      <c r="Q37" s="2"/>
      <c r="R37" s="19"/>
      <c r="S37" s="2"/>
      <c r="T37" s="2"/>
      <c r="U37" s="2"/>
      <c r="V37" s="19"/>
      <c r="W37" s="2"/>
      <c r="X37" s="2">
        <f t="shared" si="2"/>
        <v>709.1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--20350.8</f>
        <v>20350.8</v>
      </c>
      <c r="E38" s="2"/>
      <c r="F38" s="19"/>
      <c r="G38" s="2"/>
      <c r="H38" s="2"/>
      <c r="I38" s="2"/>
      <c r="J38" s="19"/>
      <c r="K38" s="2"/>
      <c r="L38" s="2">
        <f t="shared" si="0"/>
        <v>20350.8</v>
      </c>
      <c r="M38" s="2"/>
      <c r="N38" s="19">
        <f t="shared" si="1"/>
        <v>0</v>
      </c>
      <c r="O38" s="11"/>
      <c r="P38" s="2">
        <f>--74059.89</f>
        <v>74059.89</v>
      </c>
      <c r="Q38" s="2"/>
      <c r="R38" s="19"/>
      <c r="S38" s="2"/>
      <c r="T38" s="2"/>
      <c r="U38" s="2"/>
      <c r="V38" s="19"/>
      <c r="W38" s="2"/>
      <c r="X38" s="2">
        <f t="shared" si="2"/>
        <v>74059.89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/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-500.54</f>
        <v>-500.54</v>
      </c>
      <c r="E40" s="2"/>
      <c r="F40" s="19"/>
      <c r="G40" s="2"/>
      <c r="H40" s="2"/>
      <c r="I40" s="2"/>
      <c r="J40" s="19"/>
      <c r="K40" s="2"/>
      <c r="L40" s="2">
        <f t="shared" si="0"/>
        <v>-500.54</v>
      </c>
      <c r="M40" s="2"/>
      <c r="N40" s="19">
        <f t="shared" si="1"/>
        <v>0</v>
      </c>
      <c r="O40" s="11"/>
      <c r="P40" s="2">
        <f>-1143.48</f>
        <v>-1143.48</v>
      </c>
      <c r="Q40" s="2"/>
      <c r="R40" s="19"/>
      <c r="S40" s="2"/>
      <c r="T40" s="2"/>
      <c r="U40" s="2"/>
      <c r="V40" s="19"/>
      <c r="W40" s="2"/>
      <c r="X40" s="2">
        <f t="shared" si="2"/>
        <v>-1143.48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-136.11</f>
        <v>-136.11000000000001</v>
      </c>
      <c r="E41" s="2"/>
      <c r="F41" s="19"/>
      <c r="G41" s="2"/>
      <c r="H41" s="2"/>
      <c r="I41" s="2"/>
      <c r="J41" s="19"/>
      <c r="K41" s="2"/>
      <c r="L41" s="2">
        <f t="shared" si="0"/>
        <v>-136.11000000000001</v>
      </c>
      <c r="M41" s="2"/>
      <c r="N41" s="19">
        <f t="shared" si="1"/>
        <v>0</v>
      </c>
      <c r="O41" s="11"/>
      <c r="P41" s="2">
        <f>-12751.53</f>
        <v>-12751.53</v>
      </c>
      <c r="Q41" s="2"/>
      <c r="R41" s="19"/>
      <c r="S41" s="2"/>
      <c r="T41" s="2"/>
      <c r="U41" s="2"/>
      <c r="V41" s="19"/>
      <c r="W41" s="2"/>
      <c r="X41" s="2">
        <f t="shared" si="2"/>
        <v>-12751.53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-4367.01</f>
        <v>-4367.01</v>
      </c>
      <c r="E42" s="2"/>
      <c r="F42" s="19"/>
      <c r="G42" s="2"/>
      <c r="H42" s="2"/>
      <c r="I42" s="2"/>
      <c r="J42" s="19"/>
      <c r="K42" s="2"/>
      <c r="L42" s="2">
        <f t="shared" si="0"/>
        <v>-4367.01</v>
      </c>
      <c r="M42" s="2"/>
      <c r="N42" s="19">
        <f t="shared" si="1"/>
        <v>0</v>
      </c>
      <c r="O42" s="11"/>
      <c r="P42" s="2">
        <f>-31470.04</f>
        <v>-31470.04</v>
      </c>
      <c r="Q42" s="2"/>
      <c r="R42" s="19"/>
      <c r="S42" s="2"/>
      <c r="T42" s="2"/>
      <c r="U42" s="2"/>
      <c r="V42" s="19"/>
      <c r="W42" s="2"/>
      <c r="X42" s="2">
        <f t="shared" si="2"/>
        <v>-31470.04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-5548.21</f>
        <v>-5548.21</v>
      </c>
      <c r="E43" s="2"/>
      <c r="F43" s="19"/>
      <c r="G43" s="2"/>
      <c r="H43" s="2"/>
      <c r="I43" s="2"/>
      <c r="J43" s="19"/>
      <c r="K43" s="2"/>
      <c r="L43" s="2">
        <f t="shared" si="0"/>
        <v>-5548.21</v>
      </c>
      <c r="M43" s="2"/>
      <c r="N43" s="19">
        <f t="shared" si="1"/>
        <v>0</v>
      </c>
      <c r="O43" s="11"/>
      <c r="P43" s="2">
        <f>-10241.55</f>
        <v>-10241.549999999999</v>
      </c>
      <c r="Q43" s="2"/>
      <c r="R43" s="19"/>
      <c r="S43" s="2"/>
      <c r="T43" s="2"/>
      <c r="U43" s="2"/>
      <c r="V43" s="19"/>
      <c r="W43" s="2"/>
      <c r="X43" s="2">
        <f t="shared" si="2"/>
        <v>-10241.549999999999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-332.27</f>
        <v>-332.27</v>
      </c>
      <c r="E44" s="2"/>
      <c r="F44" s="19"/>
      <c r="G44" s="2"/>
      <c r="H44" s="2"/>
      <c r="I44" s="2"/>
      <c r="J44" s="19"/>
      <c r="K44" s="2"/>
      <c r="L44" s="2">
        <f t="shared" si="0"/>
        <v>-332.27</v>
      </c>
      <c r="M44" s="2"/>
      <c r="N44" s="19">
        <f t="shared" si="1"/>
        <v>0</v>
      </c>
      <c r="O44" s="11"/>
      <c r="P44" s="2">
        <f>-2310.03</f>
        <v>-2310.0300000000002</v>
      </c>
      <c r="Q44" s="2"/>
      <c r="R44" s="19"/>
      <c r="S44" s="2"/>
      <c r="T44" s="2"/>
      <c r="U44" s="2"/>
      <c r="V44" s="19"/>
      <c r="W44" s="2"/>
      <c r="X44" s="2">
        <f t="shared" si="2"/>
        <v>-2310.0300000000002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-199.86</f>
        <v>-199.86</v>
      </c>
      <c r="E45" s="2"/>
      <c r="F45" s="19"/>
      <c r="G45" s="2"/>
      <c r="H45" s="2"/>
      <c r="I45" s="2"/>
      <c r="J45" s="19"/>
      <c r="K45" s="2"/>
      <c r="L45" s="2">
        <f t="shared" si="0"/>
        <v>-199.86</v>
      </c>
      <c r="M45" s="2"/>
      <c r="N45" s="19">
        <f t="shared" si="1"/>
        <v>0</v>
      </c>
      <c r="O45" s="11"/>
      <c r="P45" s="2">
        <f>-6142.09</f>
        <v>-6142.09</v>
      </c>
      <c r="Q45" s="2"/>
      <c r="R45" s="19"/>
      <c r="S45" s="2"/>
      <c r="T45" s="2"/>
      <c r="U45" s="2"/>
      <c r="V45" s="19"/>
      <c r="W45" s="2"/>
      <c r="X45" s="2">
        <f t="shared" si="2"/>
        <v>-6142.09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-8.24</f>
        <v>-8.24</v>
      </c>
      <c r="E46" s="2"/>
      <c r="F46" s="19"/>
      <c r="G46" s="2"/>
      <c r="H46" s="2"/>
      <c r="I46" s="2"/>
      <c r="J46" s="19"/>
      <c r="K46" s="2"/>
      <c r="L46" s="2">
        <f t="shared" si="0"/>
        <v>-8.24</v>
      </c>
      <c r="M46" s="2"/>
      <c r="N46" s="19">
        <f t="shared" si="1"/>
        <v>0</v>
      </c>
      <c r="O46" s="11"/>
      <c r="P46" s="2">
        <f>-1200.62</f>
        <v>-1200.6199999999999</v>
      </c>
      <c r="Q46" s="2"/>
      <c r="R46" s="19"/>
      <c r="S46" s="2"/>
      <c r="T46" s="2"/>
      <c r="U46" s="2"/>
      <c r="V46" s="19"/>
      <c r="W46" s="2"/>
      <c r="X46" s="2">
        <f t="shared" si="2"/>
        <v>-1200.6199999999999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-4071.14</f>
        <v>-4071.14</v>
      </c>
      <c r="E47" s="2"/>
      <c r="F47" s="19"/>
      <c r="G47" s="2"/>
      <c r="H47" s="2"/>
      <c r="I47" s="2"/>
      <c r="J47" s="19"/>
      <c r="K47" s="2"/>
      <c r="L47" s="2">
        <f t="shared" si="0"/>
        <v>-4071.14</v>
      </c>
      <c r="M47" s="2"/>
      <c r="N47" s="19">
        <f t="shared" si="1"/>
        <v>0</v>
      </c>
      <c r="O47" s="11"/>
      <c r="P47" s="2">
        <f>-15417.73</f>
        <v>-15417.73</v>
      </c>
      <c r="Q47" s="2"/>
      <c r="R47" s="19"/>
      <c r="S47" s="2"/>
      <c r="T47" s="2"/>
      <c r="U47" s="2"/>
      <c r="V47" s="19"/>
      <c r="W47" s="2"/>
      <c r="X47" s="2">
        <f t="shared" si="2"/>
        <v>-15417.73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-664.13</f>
        <v>-664.13</v>
      </c>
      <c r="E48" s="2"/>
      <c r="F48" s="19"/>
      <c r="G48" s="2"/>
      <c r="H48" s="2"/>
      <c r="I48" s="2"/>
      <c r="J48" s="19"/>
      <c r="K48" s="2"/>
      <c r="L48" s="2">
        <f t="shared" si="0"/>
        <v>-664.13</v>
      </c>
      <c r="M48" s="2"/>
      <c r="N48" s="19">
        <f t="shared" si="1"/>
        <v>0</v>
      </c>
      <c r="O48" s="11"/>
      <c r="P48" s="2">
        <f>-3307.52</f>
        <v>-3307.52</v>
      </c>
      <c r="Q48" s="2"/>
      <c r="R48" s="19"/>
      <c r="S48" s="2"/>
      <c r="T48" s="2"/>
      <c r="U48" s="2"/>
      <c r="V48" s="19"/>
      <c r="W48" s="2"/>
      <c r="X48" s="2">
        <f t="shared" si="2"/>
        <v>-3307.52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-9.9</f>
        <v>-9.9</v>
      </c>
      <c r="E49" s="2"/>
      <c r="F49" s="19"/>
      <c r="G49" s="2"/>
      <c r="H49" s="2"/>
      <c r="I49" s="2"/>
      <c r="J49" s="19"/>
      <c r="K49" s="2"/>
      <c r="L49" s="2">
        <f t="shared" si="0"/>
        <v>-9.9</v>
      </c>
      <c r="M49" s="2"/>
      <c r="N49" s="19">
        <f t="shared" si="1"/>
        <v>0</v>
      </c>
      <c r="O49" s="11"/>
      <c r="P49" s="2">
        <f>-391.24</f>
        <v>-391.24</v>
      </c>
      <c r="Q49" s="2"/>
      <c r="R49" s="19"/>
      <c r="S49" s="2"/>
      <c r="T49" s="2"/>
      <c r="U49" s="2"/>
      <c r="V49" s="19"/>
      <c r="W49" s="2"/>
      <c r="X49" s="2">
        <f t="shared" si="2"/>
        <v>-391.24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/>
      <c r="U50" s="2"/>
      <c r="V50" s="19"/>
      <c r="W50" s="2"/>
      <c r="X50" s="2">
        <f t="shared" si="2"/>
        <v>-118.7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257</v>
      </c>
      <c r="C52" s="10"/>
      <c r="D52" s="4">
        <f>SUM(OSRRefD16x_0)</f>
        <v>174459</v>
      </c>
      <c r="E52" s="4"/>
      <c r="F52" s="12">
        <f t="shared" ref="F52:F75" si="5">IF(D$12=0,0,D52/D$12)</f>
        <v>0.47654190844901712</v>
      </c>
      <c r="G52" s="4"/>
      <c r="H52" s="4">
        <f>SUM(OSRRefH16x_0)</f>
        <v>156942</v>
      </c>
      <c r="I52" s="4"/>
      <c r="J52" s="12">
        <f t="shared" ref="J52:J75" si="6">IF(H$12=0,0,H52/H$12)</f>
        <v>0.4624987107136016</v>
      </c>
      <c r="K52" s="4"/>
      <c r="L52" s="4">
        <f t="shared" ref="L52:L75" si="7">+D52-H52</f>
        <v>17517</v>
      </c>
      <c r="M52" s="4"/>
      <c r="N52" s="12">
        <f t="shared" ref="N52:N75" si="8">IF(H52=0,0,L52/H52)</f>
        <v>0.1116144817830791</v>
      </c>
      <c r="O52" s="10"/>
      <c r="P52" s="4">
        <f>SUM(OSRRefP16x_0)</f>
        <v>915315.54000000015</v>
      </c>
      <c r="Q52" s="4"/>
      <c r="R52" s="12">
        <f t="shared" ref="R52:R75" si="9">IF(P$12=0,0,P52/P$12)</f>
        <v>0.55959031616939703</v>
      </c>
      <c r="S52" s="4"/>
      <c r="T52" s="4">
        <f>SUM(OSRRefT16x_0)</f>
        <v>1308089</v>
      </c>
      <c r="U52" s="4"/>
      <c r="V52" s="12">
        <f t="shared" ref="V52:V75" si="10">IF(T$12=0,0,T52/T$12)</f>
        <v>0.46249976134090348</v>
      </c>
      <c r="W52" s="4"/>
      <c r="X52" s="4">
        <f t="shared" ref="X52:X75" si="11">+P52-T52</f>
        <v>-392773.45999999985</v>
      </c>
      <c r="Y52" s="4"/>
      <c r="Z52" s="12">
        <f t="shared" ref="Z52:Z75" si="12">IF(T52=0,0,X52/T52)</f>
        <v>-0.30026508899623788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5"/>
        <v>0</v>
      </c>
      <c r="G53" s="2"/>
      <c r="H53" s="2">
        <v>156942</v>
      </c>
      <c r="I53" s="2"/>
      <c r="J53" s="19">
        <f t="shared" si="6"/>
        <v>0.4624987107136016</v>
      </c>
      <c r="K53" s="2"/>
      <c r="L53" s="2">
        <f t="shared" si="7"/>
        <v>-156942</v>
      </c>
      <c r="M53" s="2"/>
      <c r="N53" s="19">
        <f t="shared" si="8"/>
        <v>-1</v>
      </c>
      <c r="O53" s="11"/>
      <c r="P53" s="2"/>
      <c r="Q53" s="2"/>
      <c r="R53" s="19">
        <f t="shared" si="9"/>
        <v>0</v>
      </c>
      <c r="S53" s="2"/>
      <c r="T53" s="2">
        <v>1308089</v>
      </c>
      <c r="U53" s="2"/>
      <c r="V53" s="19">
        <f t="shared" si="10"/>
        <v>0.46249976134090348</v>
      </c>
      <c r="W53" s="2"/>
      <c r="X53" s="2">
        <f t="shared" si="11"/>
        <v>-1308089</v>
      </c>
      <c r="Y53" s="2"/>
      <c r="Z53" s="19">
        <f t="shared" si="12"/>
        <v>-1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599.29</v>
      </c>
      <c r="Q54" s="2"/>
      <c r="R54" s="19">
        <f t="shared" si="9"/>
        <v>3.6638390360679097E-4</v>
      </c>
      <c r="S54" s="2"/>
      <c r="T54" s="2"/>
      <c r="U54" s="2"/>
      <c r="V54" s="19">
        <f t="shared" si="10"/>
        <v>0</v>
      </c>
      <c r="W54" s="2"/>
      <c r="X54" s="2">
        <f t="shared" si="11"/>
        <v>599.29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219.64</v>
      </c>
      <c r="Q55" s="2"/>
      <c r="R55" s="19">
        <f t="shared" si="9"/>
        <v>1.3427983211499538E-4</v>
      </c>
      <c r="S55" s="2"/>
      <c r="T55" s="2"/>
      <c r="U55" s="2"/>
      <c r="V55" s="19">
        <f t="shared" si="10"/>
        <v>0</v>
      </c>
      <c r="W55" s="2"/>
      <c r="X55" s="2">
        <f t="shared" si="11"/>
        <v>219.64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1838.72</v>
      </c>
      <c r="E56" s="2"/>
      <c r="F56" s="19">
        <f t="shared" si="5"/>
        <v>5.0225390372716609E-3</v>
      </c>
      <c r="G56" s="2"/>
      <c r="H56" s="2"/>
      <c r="I56" s="2"/>
      <c r="J56" s="19">
        <f t="shared" si="6"/>
        <v>0</v>
      </c>
      <c r="K56" s="2"/>
      <c r="L56" s="2">
        <f t="shared" si="7"/>
        <v>1838.72</v>
      </c>
      <c r="M56" s="2"/>
      <c r="N56" s="19">
        <f t="shared" si="8"/>
        <v>0</v>
      </c>
      <c r="O56" s="11"/>
      <c r="P56" s="2">
        <v>22839.13</v>
      </c>
      <c r="Q56" s="2"/>
      <c r="R56" s="19">
        <f t="shared" si="9"/>
        <v>1.3963005563888884E-2</v>
      </c>
      <c r="S56" s="2"/>
      <c r="T56" s="2"/>
      <c r="U56" s="2"/>
      <c r="V56" s="19">
        <f t="shared" si="10"/>
        <v>0</v>
      </c>
      <c r="W56" s="2"/>
      <c r="X56" s="2">
        <f t="shared" si="11"/>
        <v>22839.13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1371.26</v>
      </c>
      <c r="E57" s="2"/>
      <c r="F57" s="19">
        <f t="shared" si="5"/>
        <v>3.7456528891017327E-3</v>
      </c>
      <c r="G57" s="2"/>
      <c r="H57" s="2"/>
      <c r="I57" s="2"/>
      <c r="J57" s="19">
        <f t="shared" si="6"/>
        <v>0</v>
      </c>
      <c r="K57" s="2"/>
      <c r="L57" s="2">
        <f t="shared" si="7"/>
        <v>1371.26</v>
      </c>
      <c r="M57" s="2"/>
      <c r="N57" s="19">
        <f t="shared" si="8"/>
        <v>0</v>
      </c>
      <c r="O57" s="11"/>
      <c r="P57" s="2">
        <v>5564.77</v>
      </c>
      <c r="Q57" s="2"/>
      <c r="R57" s="19">
        <f t="shared" si="9"/>
        <v>3.4020960724757006E-3</v>
      </c>
      <c r="S57" s="2"/>
      <c r="T57" s="2"/>
      <c r="U57" s="2"/>
      <c r="V57" s="19">
        <f t="shared" si="10"/>
        <v>0</v>
      </c>
      <c r="W57" s="2"/>
      <c r="X57" s="2">
        <f t="shared" si="11"/>
        <v>5564.77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5344.15</v>
      </c>
      <c r="Q58" s="2"/>
      <c r="R58" s="19">
        <f t="shared" si="9"/>
        <v>3.267217104340523E-3</v>
      </c>
      <c r="S58" s="2"/>
      <c r="T58" s="2"/>
      <c r="U58" s="2"/>
      <c r="V58" s="19">
        <f t="shared" si="10"/>
        <v>0</v>
      </c>
      <c r="W58" s="2"/>
      <c r="X58" s="2">
        <f t="shared" si="11"/>
        <v>5344.15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39218.65</v>
      </c>
      <c r="E59" s="2"/>
      <c r="F59" s="19">
        <f t="shared" si="5"/>
        <v>0.10712734979447346</v>
      </c>
      <c r="G59" s="2"/>
      <c r="H59" s="2"/>
      <c r="I59" s="2"/>
      <c r="J59" s="19">
        <f t="shared" si="6"/>
        <v>0</v>
      </c>
      <c r="K59" s="2"/>
      <c r="L59" s="2">
        <f t="shared" si="7"/>
        <v>39218.65</v>
      </c>
      <c r="M59" s="2"/>
      <c r="N59" s="19">
        <f t="shared" si="8"/>
        <v>0</v>
      </c>
      <c r="O59" s="11"/>
      <c r="P59" s="2">
        <v>279090.25</v>
      </c>
      <c r="Q59" s="2"/>
      <c r="R59" s="19">
        <f t="shared" si="9"/>
        <v>0.17062553230255004</v>
      </c>
      <c r="S59" s="2"/>
      <c r="T59" s="2"/>
      <c r="U59" s="2"/>
      <c r="V59" s="19">
        <f t="shared" si="10"/>
        <v>0</v>
      </c>
      <c r="W59" s="2"/>
      <c r="X59" s="2">
        <f t="shared" si="11"/>
        <v>279090.25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"5041", " - ", "PURCHASES @ COST-LOGO GIFTS")</f>
        <v xml:space="preserve">          5041 - PURCHASES @ COST-LOGO GIFTS</v>
      </c>
      <c r="C60" s="11"/>
      <c r="D60" s="2">
        <v>15798.51</v>
      </c>
      <c r="E60" s="2"/>
      <c r="F60" s="19">
        <f t="shared" si="5"/>
        <v>4.3154277544012527E-2</v>
      </c>
      <c r="G60" s="2"/>
      <c r="H60" s="2"/>
      <c r="I60" s="2"/>
      <c r="J60" s="19">
        <f t="shared" si="6"/>
        <v>0</v>
      </c>
      <c r="K60" s="2"/>
      <c r="L60" s="2">
        <f t="shared" si="7"/>
        <v>15798.51</v>
      </c>
      <c r="M60" s="2"/>
      <c r="N60" s="19">
        <f t="shared" si="8"/>
        <v>0</v>
      </c>
      <c r="O60" s="11"/>
      <c r="P60" s="2">
        <v>84054.35</v>
      </c>
      <c r="Q60" s="2"/>
      <c r="R60" s="19">
        <f t="shared" si="9"/>
        <v>5.1387743610157813E-2</v>
      </c>
      <c r="S60" s="2"/>
      <c r="T60" s="2"/>
      <c r="U60" s="2"/>
      <c r="V60" s="19">
        <f t="shared" si="10"/>
        <v>0</v>
      </c>
      <c r="W60" s="2"/>
      <c r="X60" s="2">
        <f t="shared" si="11"/>
        <v>84054.35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"5042", " - ", "PURCHASES @ COST-EVERYDAY GIFT")</f>
        <v xml:space="preserve">          5042 - PURCHASES @ COST-EVERYDAY GIFT</v>
      </c>
      <c r="C61" s="11"/>
      <c r="D61" s="2"/>
      <c r="E61" s="2"/>
      <c r="F61" s="19">
        <f t="shared" si="5"/>
        <v>0</v>
      </c>
      <c r="G61" s="2"/>
      <c r="H61" s="2"/>
      <c r="I61" s="2"/>
      <c r="J61" s="19">
        <f t="shared" si="6"/>
        <v>0</v>
      </c>
      <c r="K61" s="2"/>
      <c r="L61" s="2">
        <f t="shared" si="7"/>
        <v>0</v>
      </c>
      <c r="M61" s="2"/>
      <c r="N61" s="19">
        <f t="shared" si="8"/>
        <v>0</v>
      </c>
      <c r="O61" s="11"/>
      <c r="P61" s="2">
        <v>10802.14</v>
      </c>
      <c r="Q61" s="2"/>
      <c r="R61" s="19">
        <f t="shared" si="9"/>
        <v>6.6040318051478605E-3</v>
      </c>
      <c r="S61" s="2"/>
      <c r="T61" s="2"/>
      <c r="U61" s="2"/>
      <c r="V61" s="19">
        <f t="shared" si="10"/>
        <v>0</v>
      </c>
      <c r="W61" s="2"/>
      <c r="X61" s="2">
        <f t="shared" si="11"/>
        <v>10802.14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"5043", " - ", "PURCHASES @ COST-CARDS")</f>
        <v xml:space="preserve">          5043 - PURCHASES @ COST-CARDS</v>
      </c>
      <c r="C62" s="11"/>
      <c r="D62" s="2">
        <v>41</v>
      </c>
      <c r="E62" s="2"/>
      <c r="F62" s="19">
        <f t="shared" si="5"/>
        <v>1.1199318032551889E-4</v>
      </c>
      <c r="G62" s="2"/>
      <c r="H62" s="2"/>
      <c r="I62" s="2"/>
      <c r="J62" s="19">
        <f t="shared" si="6"/>
        <v>0</v>
      </c>
      <c r="K62" s="2"/>
      <c r="L62" s="2">
        <f t="shared" si="7"/>
        <v>41</v>
      </c>
      <c r="M62" s="2"/>
      <c r="N62" s="19">
        <f t="shared" si="8"/>
        <v>0</v>
      </c>
      <c r="O62" s="11"/>
      <c r="P62" s="2">
        <v>55405.33</v>
      </c>
      <c r="Q62" s="2"/>
      <c r="R62" s="19">
        <f t="shared" si="9"/>
        <v>3.3872784605153507E-2</v>
      </c>
      <c r="S62" s="2"/>
      <c r="T62" s="2"/>
      <c r="U62" s="2"/>
      <c r="V62" s="19">
        <f t="shared" si="10"/>
        <v>0</v>
      </c>
      <c r="W62" s="2"/>
      <c r="X62" s="2">
        <f t="shared" si="11"/>
        <v>55405.33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"5044", " - ", "PURCHASES @ COST-ACCESSORIES")</f>
        <v xml:space="preserve">          5044 - PURCHASES @ COST-ACCESSORIES</v>
      </c>
      <c r="C63" s="11"/>
      <c r="D63" s="2">
        <v>1490.88</v>
      </c>
      <c r="E63" s="2"/>
      <c r="F63" s="19">
        <f t="shared" si="5"/>
        <v>4.0723998215538935E-3</v>
      </c>
      <c r="G63" s="2"/>
      <c r="H63" s="2"/>
      <c r="I63" s="2"/>
      <c r="J63" s="19">
        <f t="shared" si="6"/>
        <v>0</v>
      </c>
      <c r="K63" s="2"/>
      <c r="L63" s="2">
        <f t="shared" si="7"/>
        <v>1490.88</v>
      </c>
      <c r="M63" s="2"/>
      <c r="N63" s="19">
        <f t="shared" si="8"/>
        <v>0</v>
      </c>
      <c r="O63" s="11"/>
      <c r="P63" s="2">
        <v>2555.71</v>
      </c>
      <c r="Q63" s="2"/>
      <c r="R63" s="19">
        <f t="shared" si="9"/>
        <v>1.5624672634065508E-3</v>
      </c>
      <c r="S63" s="2"/>
      <c r="T63" s="2"/>
      <c r="U63" s="2"/>
      <c r="V63" s="19">
        <f t="shared" si="10"/>
        <v>0</v>
      </c>
      <c r="W63" s="2"/>
      <c r="X63" s="2">
        <f t="shared" si="11"/>
        <v>2555.71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5771.38</v>
      </c>
      <c r="E64" s="2"/>
      <c r="F64" s="19">
        <f t="shared" si="5"/>
        <v>1.5764761001636422E-2</v>
      </c>
      <c r="G64" s="2"/>
      <c r="H64" s="2"/>
      <c r="I64" s="2"/>
      <c r="J64" s="19">
        <f t="shared" si="6"/>
        <v>0</v>
      </c>
      <c r="K64" s="2"/>
      <c r="L64" s="2">
        <f t="shared" si="7"/>
        <v>5771.38</v>
      </c>
      <c r="M64" s="2"/>
      <c r="N64" s="19">
        <f t="shared" si="8"/>
        <v>0</v>
      </c>
      <c r="O64" s="11"/>
      <c r="P64" s="2">
        <v>114998.07</v>
      </c>
      <c r="Q64" s="2"/>
      <c r="R64" s="19">
        <f t="shared" si="9"/>
        <v>7.0305597947316001E-2</v>
      </c>
      <c r="S64" s="2"/>
      <c r="T64" s="2"/>
      <c r="U64" s="2"/>
      <c r="V64" s="19">
        <f t="shared" si="10"/>
        <v>0</v>
      </c>
      <c r="W64" s="2"/>
      <c r="X64" s="2">
        <f t="shared" si="11"/>
        <v>114998.07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"5200", " - ", "PURCHASES OFFSET")</f>
        <v xml:space="preserve">          5200 - PURCHASES OFFSET</v>
      </c>
      <c r="C65" s="11"/>
      <c r="D65" s="2">
        <v>-70754.37</v>
      </c>
      <c r="E65" s="2"/>
      <c r="F65" s="19">
        <f t="shared" si="5"/>
        <v>-0.19326846142020693</v>
      </c>
      <c r="G65" s="2"/>
      <c r="H65" s="2"/>
      <c r="I65" s="2"/>
      <c r="J65" s="19">
        <f t="shared" si="6"/>
        <v>0</v>
      </c>
      <c r="K65" s="2"/>
      <c r="L65" s="2">
        <f t="shared" si="7"/>
        <v>-70754.37</v>
      </c>
      <c r="M65" s="2"/>
      <c r="N65" s="19">
        <f t="shared" si="8"/>
        <v>0</v>
      </c>
      <c r="O65" s="11"/>
      <c r="P65" s="2">
        <v>-606458.98</v>
      </c>
      <c r="Q65" s="2"/>
      <c r="R65" s="19">
        <f t="shared" si="9"/>
        <v>-0.37076675477613974</v>
      </c>
      <c r="S65" s="2"/>
      <c r="T65" s="2"/>
      <c r="U65" s="2"/>
      <c r="V65" s="19">
        <f t="shared" si="10"/>
        <v>0</v>
      </c>
      <c r="W65" s="2"/>
      <c r="X65" s="2">
        <f t="shared" si="11"/>
        <v>-606458.98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"5300", " - ", "COG$ OFFSET")</f>
        <v xml:space="preserve">          5300 - COG$ OFFSET</v>
      </c>
      <c r="C66" s="11"/>
      <c r="D66" s="2">
        <v>174459</v>
      </c>
      <c r="E66" s="2"/>
      <c r="F66" s="19">
        <f t="shared" si="5"/>
        <v>0.47654190844901712</v>
      </c>
      <c r="G66" s="2"/>
      <c r="H66" s="2"/>
      <c r="I66" s="2"/>
      <c r="J66" s="19">
        <f t="shared" si="6"/>
        <v>0</v>
      </c>
      <c r="K66" s="2"/>
      <c r="L66" s="2">
        <f t="shared" si="7"/>
        <v>174459</v>
      </c>
      <c r="M66" s="2"/>
      <c r="N66" s="19">
        <f t="shared" si="8"/>
        <v>0</v>
      </c>
      <c r="O66" s="11"/>
      <c r="P66" s="2">
        <v>914399</v>
      </c>
      <c r="Q66" s="2"/>
      <c r="R66" s="19">
        <f t="shared" si="9"/>
        <v>0.55902997726333847</v>
      </c>
      <c r="S66" s="2"/>
      <c r="T66" s="2"/>
      <c r="U66" s="2"/>
      <c r="V66" s="19">
        <f t="shared" si="10"/>
        <v>0</v>
      </c>
      <c r="W66" s="2"/>
      <c r="X66" s="2">
        <f t="shared" si="11"/>
        <v>914399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19">
        <f t="shared" si="5"/>
        <v>0</v>
      </c>
      <c r="G67" s="2"/>
      <c r="H67" s="2"/>
      <c r="I67" s="2"/>
      <c r="J67" s="19">
        <f t="shared" si="6"/>
        <v>0</v>
      </c>
      <c r="K67" s="2"/>
      <c r="L67" s="2">
        <f t="shared" si="7"/>
        <v>0</v>
      </c>
      <c r="M67" s="2"/>
      <c r="N67" s="19">
        <f t="shared" si="8"/>
        <v>0</v>
      </c>
      <c r="O67" s="11"/>
      <c r="P67" s="2">
        <v>48.14</v>
      </c>
      <c r="Q67" s="2"/>
      <c r="R67" s="19">
        <f t="shared" si="9"/>
        <v>2.943102858320833E-5</v>
      </c>
      <c r="S67" s="2"/>
      <c r="T67" s="2"/>
      <c r="U67" s="2"/>
      <c r="V67" s="19">
        <f t="shared" si="10"/>
        <v>0</v>
      </c>
      <c r="W67" s="2"/>
      <c r="X67" s="2">
        <f t="shared" si="11"/>
        <v>48.14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"5526", " - ", "FREIGHT-IN-WRITING INSTRUMENTS")</f>
        <v xml:space="preserve">          5526 - FREIGHT-IN-WRITING INSTRUMENTS</v>
      </c>
      <c r="C68" s="11"/>
      <c r="D68" s="2"/>
      <c r="E68" s="2"/>
      <c r="F68" s="19">
        <f t="shared" si="5"/>
        <v>0</v>
      </c>
      <c r="G68" s="2"/>
      <c r="H68" s="2"/>
      <c r="I68" s="2"/>
      <c r="J68" s="19">
        <f t="shared" si="6"/>
        <v>0</v>
      </c>
      <c r="K68" s="2"/>
      <c r="L68" s="2">
        <f t="shared" si="7"/>
        <v>0</v>
      </c>
      <c r="M68" s="2"/>
      <c r="N68" s="19">
        <f t="shared" si="8"/>
        <v>0</v>
      </c>
      <c r="O68" s="11"/>
      <c r="P68" s="2">
        <v>0</v>
      </c>
      <c r="Q68" s="2"/>
      <c r="R68" s="19">
        <f t="shared" si="9"/>
        <v>0</v>
      </c>
      <c r="S68" s="2"/>
      <c r="T68" s="2"/>
      <c r="U68" s="2"/>
      <c r="V68" s="19">
        <f t="shared" si="10"/>
        <v>0</v>
      </c>
      <c r="W68" s="2"/>
      <c r="X68" s="2">
        <f t="shared" si="11"/>
        <v>0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"5527", " - ", "FREIGHT-IN-SCHOOL SUPPLIES")</f>
        <v xml:space="preserve">          5527 - FREIGHT-IN-SCHOOL SUPPLIES</v>
      </c>
      <c r="C69" s="11"/>
      <c r="D69" s="2"/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0</v>
      </c>
      <c r="M69" s="2"/>
      <c r="N69" s="19">
        <f t="shared" si="8"/>
        <v>0</v>
      </c>
      <c r="O69" s="11"/>
      <c r="P69" s="2">
        <v>218.62</v>
      </c>
      <c r="Q69" s="2"/>
      <c r="R69" s="19">
        <f t="shared" si="9"/>
        <v>1.3365624156337776E-4</v>
      </c>
      <c r="S69" s="2"/>
      <c r="T69" s="2"/>
      <c r="U69" s="2"/>
      <c r="V69" s="19">
        <f t="shared" si="10"/>
        <v>0</v>
      </c>
      <c r="W69" s="2"/>
      <c r="X69" s="2">
        <f t="shared" si="11"/>
        <v>218.62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"5528", " - ", "FREIGHT-IN-ART/TECH")</f>
        <v xml:space="preserve">          5528 - FREIGHT-IN-ART/TECH</v>
      </c>
      <c r="C70" s="11"/>
      <c r="D70" s="2">
        <v>69.73</v>
      </c>
      <c r="E70" s="2"/>
      <c r="F70" s="19">
        <f t="shared" si="5"/>
        <v>1.9047035278288861E-4</v>
      </c>
      <c r="G70" s="2"/>
      <c r="H70" s="2"/>
      <c r="I70" s="2"/>
      <c r="J70" s="19">
        <f t="shared" si="6"/>
        <v>0</v>
      </c>
      <c r="K70" s="2"/>
      <c r="L70" s="2">
        <f t="shared" si="7"/>
        <v>69.73</v>
      </c>
      <c r="M70" s="2"/>
      <c r="N70" s="19">
        <f t="shared" si="8"/>
        <v>0</v>
      </c>
      <c r="O70" s="11"/>
      <c r="P70" s="2">
        <v>176.91</v>
      </c>
      <c r="Q70" s="2"/>
      <c r="R70" s="19">
        <f t="shared" si="9"/>
        <v>1.0815627890850405E-4</v>
      </c>
      <c r="S70" s="2"/>
      <c r="T70" s="2"/>
      <c r="U70" s="2"/>
      <c r="V70" s="19">
        <f t="shared" si="10"/>
        <v>0</v>
      </c>
      <c r="W70" s="2"/>
      <c r="X70" s="2">
        <f t="shared" si="11"/>
        <v>176.91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"5540", " - ", "FREIGHT-IN-LOGO CLOTHING")</f>
        <v xml:space="preserve">          5540 - FREIGHT-IN-LOGO CLOTHING</v>
      </c>
      <c r="C71" s="11"/>
      <c r="D71" s="2">
        <v>2107.65</v>
      </c>
      <c r="E71" s="2"/>
      <c r="F71" s="19">
        <f t="shared" si="5"/>
        <v>5.7571323539775589E-3</v>
      </c>
      <c r="G71" s="2"/>
      <c r="H71" s="2"/>
      <c r="I71" s="2"/>
      <c r="J71" s="19">
        <f t="shared" si="6"/>
        <v>0</v>
      </c>
      <c r="K71" s="2"/>
      <c r="L71" s="2">
        <f t="shared" si="7"/>
        <v>2107.65</v>
      </c>
      <c r="M71" s="2"/>
      <c r="N71" s="19">
        <f t="shared" si="8"/>
        <v>0</v>
      </c>
      <c r="O71" s="11"/>
      <c r="P71" s="2">
        <v>9216.02</v>
      </c>
      <c r="Q71" s="2"/>
      <c r="R71" s="19">
        <f t="shared" si="9"/>
        <v>5.6343362701167356E-3</v>
      </c>
      <c r="S71" s="2"/>
      <c r="T71" s="2"/>
      <c r="U71" s="2"/>
      <c r="V71" s="19">
        <f t="shared" si="10"/>
        <v>0</v>
      </c>
      <c r="W71" s="2"/>
      <c r="X71" s="2">
        <f t="shared" si="11"/>
        <v>9216.02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"5541", " - ", "FREIGHT-IN-LOGO GIFTS")</f>
        <v xml:space="preserve">          5541 - FREIGHT-IN-LOGO GIFTS</v>
      </c>
      <c r="C72" s="11"/>
      <c r="D72" s="2">
        <v>2877.99</v>
      </c>
      <c r="E72" s="2"/>
      <c r="F72" s="19">
        <f t="shared" si="5"/>
        <v>7.8613476352448804E-3</v>
      </c>
      <c r="G72" s="2"/>
      <c r="H72" s="2"/>
      <c r="I72" s="2"/>
      <c r="J72" s="19">
        <f t="shared" si="6"/>
        <v>0</v>
      </c>
      <c r="K72" s="2"/>
      <c r="L72" s="2">
        <f t="shared" si="7"/>
        <v>2877.99</v>
      </c>
      <c r="M72" s="2"/>
      <c r="N72" s="19">
        <f t="shared" si="8"/>
        <v>0</v>
      </c>
      <c r="O72" s="11"/>
      <c r="P72" s="2">
        <v>5015.99</v>
      </c>
      <c r="Q72" s="2"/>
      <c r="R72" s="19">
        <f t="shared" si="9"/>
        <v>3.0665921284396998E-3</v>
      </c>
      <c r="S72" s="2"/>
      <c r="T72" s="2"/>
      <c r="U72" s="2"/>
      <c r="V72" s="19">
        <f t="shared" si="10"/>
        <v>0</v>
      </c>
      <c r="W72" s="2"/>
      <c r="X72" s="2">
        <f t="shared" si="11"/>
        <v>5015.99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"5542", " - ", "FREIGHT-IN-EVERYDAY GIFTS")</f>
        <v xml:space="preserve">          5542 - FREIGHT-IN-EVERYDAY GIFTS</v>
      </c>
      <c r="C73" s="11"/>
      <c r="D73" s="2"/>
      <c r="E73" s="2"/>
      <c r="F73" s="19">
        <f t="shared" si="5"/>
        <v>0</v>
      </c>
      <c r="G73" s="2"/>
      <c r="H73" s="2"/>
      <c r="I73" s="2"/>
      <c r="J73" s="19">
        <f t="shared" si="6"/>
        <v>0</v>
      </c>
      <c r="K73" s="2"/>
      <c r="L73" s="2">
        <f t="shared" si="7"/>
        <v>0</v>
      </c>
      <c r="M73" s="2"/>
      <c r="N73" s="19">
        <f t="shared" si="8"/>
        <v>0</v>
      </c>
      <c r="O73" s="11"/>
      <c r="P73" s="2">
        <v>681.72</v>
      </c>
      <c r="Q73" s="2"/>
      <c r="R73" s="19">
        <f t="shared" si="9"/>
        <v>4.1677857926349776E-4</v>
      </c>
      <c r="S73" s="2"/>
      <c r="T73" s="2"/>
      <c r="U73" s="2"/>
      <c r="V73" s="19">
        <f t="shared" si="10"/>
        <v>0</v>
      </c>
      <c r="W73" s="2"/>
      <c r="X73" s="2">
        <f t="shared" si="11"/>
        <v>681.72</v>
      </c>
      <c r="Y73" s="2"/>
      <c r="Z73" s="19">
        <f t="shared" si="12"/>
        <v>0</v>
      </c>
    </row>
    <row r="74" spans="1:26" s="24" customFormat="1" hidden="1" outlineLevel="1" x14ac:dyDescent="0.25">
      <c r="A74" s="44"/>
      <c r="B74" s="11" t="str">
        <f>CONCATENATE("          ", "5543", " - ", "FREIGHT-IN-CARDS")</f>
        <v xml:space="preserve">          5543 - FREIGHT-IN-CARDS</v>
      </c>
      <c r="C74" s="11"/>
      <c r="D74" s="2"/>
      <c r="E74" s="2"/>
      <c r="F74" s="19">
        <f t="shared" si="5"/>
        <v>0</v>
      </c>
      <c r="G74" s="2"/>
      <c r="H74" s="2"/>
      <c r="I74" s="2"/>
      <c r="J74" s="19">
        <f t="shared" si="6"/>
        <v>0</v>
      </c>
      <c r="K74" s="2"/>
      <c r="L74" s="2">
        <f t="shared" si="7"/>
        <v>0</v>
      </c>
      <c r="M74" s="2"/>
      <c r="N74" s="19">
        <f t="shared" si="8"/>
        <v>0</v>
      </c>
      <c r="O74" s="11"/>
      <c r="P74" s="2">
        <v>9110.5300000000007</v>
      </c>
      <c r="Q74" s="2"/>
      <c r="R74" s="19">
        <f t="shared" si="9"/>
        <v>5.5698435570871833E-3</v>
      </c>
      <c r="S74" s="2"/>
      <c r="T74" s="2"/>
      <c r="U74" s="2"/>
      <c r="V74" s="19">
        <f t="shared" si="10"/>
        <v>0</v>
      </c>
      <c r="W74" s="2"/>
      <c r="X74" s="2">
        <f t="shared" si="11"/>
        <v>9110.5300000000007</v>
      </c>
      <c r="Y74" s="2"/>
      <c r="Z74" s="19">
        <f t="shared" si="12"/>
        <v>0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>
        <v>168.6</v>
      </c>
      <c r="E75" s="2"/>
      <c r="F75" s="19">
        <f t="shared" si="5"/>
        <v>4.6053780982640208E-4</v>
      </c>
      <c r="G75" s="2"/>
      <c r="H75" s="2"/>
      <c r="I75" s="2"/>
      <c r="J75" s="19">
        <f t="shared" si="6"/>
        <v>0</v>
      </c>
      <c r="K75" s="2"/>
      <c r="L75" s="2">
        <f t="shared" si="7"/>
        <v>168.6</v>
      </c>
      <c r="M75" s="2"/>
      <c r="N75" s="19">
        <f t="shared" si="8"/>
        <v>0</v>
      </c>
      <c r="O75" s="11"/>
      <c r="P75" s="2">
        <v>1434.76</v>
      </c>
      <c r="Q75" s="2"/>
      <c r="R75" s="19">
        <f t="shared" si="9"/>
        <v>8.7715958807735729E-4</v>
      </c>
      <c r="S75" s="2"/>
      <c r="T75" s="2"/>
      <c r="U75" s="2"/>
      <c r="V75" s="19">
        <f t="shared" si="10"/>
        <v>0</v>
      </c>
      <c r="W75" s="2"/>
      <c r="X75" s="2">
        <f t="shared" si="11"/>
        <v>1434.76</v>
      </c>
      <c r="Y75" s="2"/>
      <c r="Z75" s="19">
        <f t="shared" si="12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108</v>
      </c>
      <c r="C77" s="28"/>
      <c r="D77" s="21">
        <f>D12-D52</f>
        <v>191634.7199999998</v>
      </c>
      <c r="E77" s="14"/>
      <c r="F77" s="20">
        <f>IF(D$12=0,0,D77/D$12)</f>
        <v>0.52345809155098288</v>
      </c>
      <c r="G77" s="14"/>
      <c r="H77" s="21">
        <f>H12-H52</f>
        <v>182393</v>
      </c>
      <c r="I77" s="14"/>
      <c r="J77" s="20">
        <f>IF(H$12=0,0,H77/H$12)</f>
        <v>0.5375012892863984</v>
      </c>
      <c r="K77" s="16"/>
      <c r="L77" s="21">
        <f>+D77-H77</f>
        <v>9241.7199999997974</v>
      </c>
      <c r="M77" s="16"/>
      <c r="N77" s="20">
        <f>IF(H77=0,0,L77/H77)</f>
        <v>5.066926910572115E-2</v>
      </c>
      <c r="O77" s="29"/>
      <c r="P77" s="21">
        <f>P12-P52</f>
        <v>720373.12999999931</v>
      </c>
      <c r="Q77" s="14"/>
      <c r="R77" s="20">
        <f>IF(P$12=0,0,P77/P$12)</f>
        <v>0.44040968383060303</v>
      </c>
      <c r="S77" s="14"/>
      <c r="T77" s="21">
        <f>T12-T52</f>
        <v>1520213</v>
      </c>
      <c r="U77" s="14"/>
      <c r="V77" s="20">
        <f>IF(T$12=0,0,T77/T$12)</f>
        <v>0.53750023865909646</v>
      </c>
      <c r="W77" s="16"/>
      <c r="X77" s="21">
        <f>+P77-T77</f>
        <v>-799839.87000000069</v>
      </c>
      <c r="Y77" s="16"/>
      <c r="Z77" s="20">
        <f>IF(T77=0,0,X77/T77)</f>
        <v>-0.5261367124212204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295</v>
      </c>
      <c r="C79" s="10"/>
      <c r="D79" s="22">
        <f>SUM(OSRRefD22x_0)</f>
        <v>57069</v>
      </c>
      <c r="E79" s="22"/>
      <c r="F79" s="32">
        <f t="shared" ref="F79:F89" si="13">IF(D$12=0,0,D79/D$12)</f>
        <v>0.15588631239017164</v>
      </c>
      <c r="G79" s="22"/>
      <c r="H79" s="22">
        <f>SUM(OSRRefH22x_0)</f>
        <v>113645.74852034617</v>
      </c>
      <c r="I79" s="22"/>
      <c r="J79" s="32">
        <f t="shared" ref="J79:J89" si="14">IF(H$12=0,0,H79/H$12)</f>
        <v>0.33490724069237232</v>
      </c>
      <c r="K79" s="4"/>
      <c r="L79" s="22">
        <f t="shared" ref="L79:L89" si="15">+D79-H79</f>
        <v>-56576.748520346169</v>
      </c>
      <c r="M79" s="4"/>
      <c r="N79" s="32">
        <f t="shared" ref="N79:N89" si="16">IF(H79=0,0,L79/H79)</f>
        <v>-0.49783427235042715</v>
      </c>
      <c r="O79" s="10"/>
      <c r="P79" s="22">
        <f>SUM(OSRRefP22x_0)</f>
        <v>472436.9499999999</v>
      </c>
      <c r="Q79" s="22"/>
      <c r="R79" s="32">
        <f t="shared" ref="R79:R89" si="17">IF(P$12=0,0,P79/P$12)</f>
        <v>0.28883060613240052</v>
      </c>
      <c r="S79" s="22"/>
      <c r="T79" s="22">
        <f>SUM(OSRRefT22x_0)</f>
        <v>1023067.8884178464</v>
      </c>
      <c r="U79" s="22"/>
      <c r="V79" s="32">
        <f t="shared" ref="V79:V89" si="18">IF(T$12=0,0,T79/T$12)</f>
        <v>0.36172512285387004</v>
      </c>
      <c r="W79" s="4"/>
      <c r="X79" s="22">
        <f t="shared" ref="X79:X89" si="19">+P79-T79</f>
        <v>-550630.93841784657</v>
      </c>
      <c r="Y79" s="4"/>
      <c r="Z79" s="32">
        <f t="shared" ref="Z79:Z89" si="20">IF(T79=0,0,X79/T79)</f>
        <v>-0.53821544459711868</v>
      </c>
    </row>
    <row r="80" spans="1:26" s="25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11502.99</v>
      </c>
      <c r="E80" s="1"/>
      <c r="F80" s="5">
        <f t="shared" si="13"/>
        <v>3.1420888618357089E-2</v>
      </c>
      <c r="G80" s="1"/>
      <c r="H80" s="1">
        <f>SUM(OSRRefH22_0x_0)</f>
        <v>13343.74025111537</v>
      </c>
      <c r="I80" s="1"/>
      <c r="J80" s="5">
        <f t="shared" si="14"/>
        <v>3.9323206421722989E-2</v>
      </c>
      <c r="K80" s="1"/>
      <c r="L80" s="1">
        <f t="shared" si="15"/>
        <v>-1840.7502511153707</v>
      </c>
      <c r="M80" s="1"/>
      <c r="N80" s="5">
        <f t="shared" si="16"/>
        <v>-0.13794859735534098</v>
      </c>
      <c r="O80" s="13"/>
      <c r="P80" s="1">
        <f>SUM(OSRRefP22_0x_0)</f>
        <v>102199.01</v>
      </c>
      <c r="Q80" s="1"/>
      <c r="R80" s="5">
        <f t="shared" si="17"/>
        <v>6.2480722569289444E-2</v>
      </c>
      <c r="S80" s="1"/>
      <c r="T80" s="1">
        <f>SUM(OSRRefT22_0x_0)</f>
        <v>128079.92264861535</v>
      </c>
      <c r="U80" s="1"/>
      <c r="V80" s="5">
        <f t="shared" si="18"/>
        <v>4.5285094253942948E-2</v>
      </c>
      <c r="W80" s="1"/>
      <c r="X80" s="1">
        <f t="shared" si="19"/>
        <v>-25880.912648615355</v>
      </c>
      <c r="Y80" s="1"/>
      <c r="Z80" s="5">
        <f t="shared" si="20"/>
        <v>-0.20206845939171209</v>
      </c>
    </row>
    <row r="81" spans="1:26" s="24" customFormat="1" hidden="1" outlineLevel="2" x14ac:dyDescent="0.25">
      <c r="A81" s="26"/>
      <c r="B81" s="11" t="str">
        <f>CONCATENATE("          ", "6111", " - ", "F.I.C.A.")</f>
        <v xml:space="preserve">          6111 - F.I.C.A.</v>
      </c>
      <c r="C81" s="11"/>
      <c r="D81" s="7">
        <v>2781.47</v>
      </c>
      <c r="E81" s="2"/>
      <c r="F81" s="6">
        <f t="shared" si="13"/>
        <v>7.5976992995127075E-3</v>
      </c>
      <c r="G81" s="2"/>
      <c r="H81" s="7">
        <v>1874.88345057692</v>
      </c>
      <c r="I81" s="2"/>
      <c r="J81" s="6">
        <f t="shared" si="14"/>
        <v>5.5251696717901781E-3</v>
      </c>
      <c r="K81" s="2"/>
      <c r="L81" s="7">
        <f t="shared" si="15"/>
        <v>906.58654942307976</v>
      </c>
      <c r="M81" s="2"/>
      <c r="N81" s="6">
        <f t="shared" si="16"/>
        <v>0.48354288323581618</v>
      </c>
      <c r="O81" s="11"/>
      <c r="P81" s="7">
        <v>23006.51</v>
      </c>
      <c r="Q81" s="2"/>
      <c r="R81" s="6">
        <f t="shared" si="17"/>
        <v>1.4065335550682763E-2</v>
      </c>
      <c r="S81" s="2"/>
      <c r="T81" s="7">
        <v>21510.036317076901</v>
      </c>
      <c r="U81" s="2"/>
      <c r="V81" s="6">
        <f t="shared" si="18"/>
        <v>7.6052827163000632E-3</v>
      </c>
      <c r="W81" s="2"/>
      <c r="X81" s="7">
        <f t="shared" si="19"/>
        <v>1496.4736829230969</v>
      </c>
      <c r="Y81" s="2"/>
      <c r="Z81" s="6">
        <f t="shared" si="20"/>
        <v>6.9570951013924631E-2</v>
      </c>
    </row>
    <row r="82" spans="1:26" s="24" customFormat="1" hidden="1" outlineLevel="2" x14ac:dyDescent="0.25">
      <c r="A82" s="26"/>
      <c r="B82" s="11" t="str">
        <f>CONCATENATE("          ", "6112", " - ", "COMPENSATION INSURANCE")</f>
        <v xml:space="preserve">          6112 - COMPENSATION INSURANCE</v>
      </c>
      <c r="C82" s="11"/>
      <c r="D82" s="7">
        <v>576.36</v>
      </c>
      <c r="E82" s="2"/>
      <c r="F82" s="6">
        <f t="shared" si="13"/>
        <v>1.5743509612784407E-3</v>
      </c>
      <c r="G82" s="2"/>
      <c r="H82" s="7">
        <v>1253.16064192308</v>
      </c>
      <c r="I82" s="2"/>
      <c r="J82" s="6">
        <f t="shared" si="14"/>
        <v>3.6929896471719096E-3</v>
      </c>
      <c r="K82" s="2"/>
      <c r="L82" s="7">
        <f t="shared" si="15"/>
        <v>-676.80064192307998</v>
      </c>
      <c r="M82" s="2"/>
      <c r="N82" s="6">
        <f t="shared" si="16"/>
        <v>-0.54007492677433011</v>
      </c>
      <c r="O82" s="11"/>
      <c r="P82" s="7">
        <v>7733.38</v>
      </c>
      <c r="Q82" s="2"/>
      <c r="R82" s="6">
        <f t="shared" si="17"/>
        <v>4.727904607910503E-3</v>
      </c>
      <c r="S82" s="2"/>
      <c r="T82" s="7">
        <v>11052.503526923099</v>
      </c>
      <c r="U82" s="2"/>
      <c r="V82" s="6">
        <f t="shared" si="18"/>
        <v>3.907822971847808E-3</v>
      </c>
      <c r="W82" s="2"/>
      <c r="X82" s="7">
        <f t="shared" si="19"/>
        <v>-3319.1235269230992</v>
      </c>
      <c r="Y82" s="2"/>
      <c r="Z82" s="6">
        <f t="shared" si="20"/>
        <v>-0.30030513166885259</v>
      </c>
    </row>
    <row r="83" spans="1:26" s="24" customFormat="1" hidden="1" outlineLevel="2" x14ac:dyDescent="0.25">
      <c r="A83" s="26"/>
      <c r="B83" s="11" t="str">
        <f>CONCATENATE("          ", "6113", " - ", "GROUP INSURANCE")</f>
        <v xml:space="preserve">          6113 - GROUP INSURANCE</v>
      </c>
      <c r="C83" s="11"/>
      <c r="D83" s="7">
        <v>2823.95</v>
      </c>
      <c r="E83" s="2"/>
      <c r="F83" s="6">
        <f t="shared" si="13"/>
        <v>7.7137351604938797E-3</v>
      </c>
      <c r="G83" s="2"/>
      <c r="H83" s="7">
        <v>5122.3076923076896</v>
      </c>
      <c r="I83" s="2"/>
      <c r="J83" s="6">
        <f t="shared" si="14"/>
        <v>1.5095135168219281E-2</v>
      </c>
      <c r="K83" s="2"/>
      <c r="L83" s="7">
        <f t="shared" si="15"/>
        <v>-2298.3576923076898</v>
      </c>
      <c r="M83" s="2"/>
      <c r="N83" s="6">
        <f t="shared" si="16"/>
        <v>-0.4486957501126293</v>
      </c>
      <c r="O83" s="11"/>
      <c r="P83" s="7">
        <v>29124.85</v>
      </c>
      <c r="Q83" s="2"/>
      <c r="R83" s="6">
        <f t="shared" si="17"/>
        <v>1.7805863997333922E-2</v>
      </c>
      <c r="S83" s="2"/>
      <c r="T83" s="7">
        <v>50302.307692307702</v>
      </c>
      <c r="U83" s="2"/>
      <c r="V83" s="6">
        <f t="shared" si="18"/>
        <v>1.7785338232023207E-2</v>
      </c>
      <c r="W83" s="2"/>
      <c r="X83" s="7">
        <f t="shared" si="19"/>
        <v>-21177.457692307704</v>
      </c>
      <c r="Y83" s="2"/>
      <c r="Z83" s="6">
        <f t="shared" si="20"/>
        <v>-0.42100370070191012</v>
      </c>
    </row>
    <row r="84" spans="1:26" s="24" customFormat="1" hidden="1" outlineLevel="2" x14ac:dyDescent="0.25">
      <c r="A84" s="26"/>
      <c r="B84" s="11" t="str">
        <f>CONCATENATE("          ", "6114", " - ", "STATE UNEMPLOYMENT INSURANCE")</f>
        <v xml:space="preserve">          6114 - STATE UNEMPLOYMENT INSURANCE</v>
      </c>
      <c r="C84" s="11"/>
      <c r="D84" s="7">
        <v>81</v>
      </c>
      <c r="E84" s="2"/>
      <c r="F84" s="6">
        <f t="shared" si="13"/>
        <v>2.2125481966748855E-4</v>
      </c>
      <c r="G84" s="2"/>
      <c r="H84" s="7">
        <v>176.11987400000001</v>
      </c>
      <c r="I84" s="2"/>
      <c r="J84" s="6">
        <f t="shared" si="14"/>
        <v>5.1901476122415905E-4</v>
      </c>
      <c r="K84" s="2"/>
      <c r="L84" s="7">
        <f t="shared" si="15"/>
        <v>-95.11987400000001</v>
      </c>
      <c r="M84" s="2"/>
      <c r="N84" s="6">
        <f t="shared" si="16"/>
        <v>-0.54008597575989636</v>
      </c>
      <c r="O84" s="11"/>
      <c r="P84" s="7">
        <v>913.08</v>
      </c>
      <c r="Q84" s="2"/>
      <c r="R84" s="6">
        <f t="shared" si="17"/>
        <v>5.5822358908923686E-4</v>
      </c>
      <c r="S84" s="2"/>
      <c r="T84" s="7">
        <v>1553.32482</v>
      </c>
      <c r="U84" s="2"/>
      <c r="V84" s="6">
        <f t="shared" si="18"/>
        <v>5.4920755280023139E-4</v>
      </c>
      <c r="W84" s="2"/>
      <c r="X84" s="7">
        <f t="shared" si="19"/>
        <v>-640.24482</v>
      </c>
      <c r="Y84" s="2"/>
      <c r="Z84" s="6">
        <f t="shared" si="20"/>
        <v>-0.41217703583723075</v>
      </c>
    </row>
    <row r="85" spans="1:26" s="24" customFormat="1" hidden="1" outlineLevel="2" x14ac:dyDescent="0.25">
      <c r="A85" s="26"/>
      <c r="B85" s="11" t="str">
        <f>CONCATENATE("          ", "6115", " - ", "P.E.R.S.")</f>
        <v xml:space="preserve">          6115 - P.E.R.S.</v>
      </c>
      <c r="C85" s="11"/>
      <c r="D85" s="7">
        <v>1479.39</v>
      </c>
      <c r="E85" s="2"/>
      <c r="F85" s="6">
        <f t="shared" si="13"/>
        <v>4.0410144156529122E-3</v>
      </c>
      <c r="G85" s="2"/>
      <c r="H85" s="7">
        <v>1462.4663846153801</v>
      </c>
      <c r="I85" s="2"/>
      <c r="J85" s="6">
        <f t="shared" si="14"/>
        <v>4.3098011835365647E-3</v>
      </c>
      <c r="K85" s="2"/>
      <c r="L85" s="7">
        <f t="shared" si="15"/>
        <v>16.923615384620007</v>
      </c>
      <c r="M85" s="2"/>
      <c r="N85" s="6">
        <f t="shared" si="16"/>
        <v>1.1571968807386172E-2</v>
      </c>
      <c r="O85" s="11"/>
      <c r="P85" s="7">
        <v>16149.79</v>
      </c>
      <c r="Q85" s="2"/>
      <c r="R85" s="6">
        <f t="shared" si="17"/>
        <v>9.8733886809890328E-3</v>
      </c>
      <c r="S85" s="2"/>
      <c r="T85" s="7">
        <v>12683.6689846154</v>
      </c>
      <c r="U85" s="2"/>
      <c r="V85" s="6">
        <f t="shared" si="18"/>
        <v>4.4845525635577111E-3</v>
      </c>
      <c r="W85" s="2"/>
      <c r="X85" s="7">
        <f t="shared" si="19"/>
        <v>3466.1210153846005</v>
      </c>
      <c r="Y85" s="2"/>
      <c r="Z85" s="6">
        <f t="shared" si="20"/>
        <v>0.27327431988242651</v>
      </c>
    </row>
    <row r="86" spans="1:26" s="24" customFormat="1" hidden="1" outlineLevel="2" x14ac:dyDescent="0.25">
      <c r="A86" s="26"/>
      <c r="B86" s="11" t="str">
        <f>CONCATENATE("          ", "6116", " - ", "EDUCATIONAL BENEFITS")</f>
        <v xml:space="preserve">          6116 - EDUCATIONAL BENEFITS</v>
      </c>
      <c r="C86" s="11"/>
      <c r="D86" s="7"/>
      <c r="E86" s="2"/>
      <c r="F86" s="6">
        <f t="shared" si="13"/>
        <v>0</v>
      </c>
      <c r="G86" s="2"/>
      <c r="H86" s="7">
        <v>0</v>
      </c>
      <c r="I86" s="2"/>
      <c r="J86" s="6">
        <f t="shared" si="14"/>
        <v>0</v>
      </c>
      <c r="K86" s="2"/>
      <c r="L86" s="7">
        <f t="shared" si="15"/>
        <v>0</v>
      </c>
      <c r="M86" s="2"/>
      <c r="N86" s="6">
        <f t="shared" si="16"/>
        <v>0</v>
      </c>
      <c r="O86" s="11"/>
      <c r="P86" s="7"/>
      <c r="Q86" s="2"/>
      <c r="R86" s="6">
        <f t="shared" si="17"/>
        <v>0</v>
      </c>
      <c r="S86" s="2"/>
      <c r="T86" s="7">
        <v>0</v>
      </c>
      <c r="U86" s="2"/>
      <c r="V86" s="6">
        <f t="shared" si="18"/>
        <v>0</v>
      </c>
      <c r="W86" s="2"/>
      <c r="X86" s="7">
        <f t="shared" si="19"/>
        <v>0</v>
      </c>
      <c r="Y86" s="2"/>
      <c r="Z86" s="6">
        <f t="shared" si="20"/>
        <v>0</v>
      </c>
    </row>
    <row r="87" spans="1:26" s="24" customFormat="1" hidden="1" outlineLevel="2" x14ac:dyDescent="0.25">
      <c r="A87" s="26"/>
      <c r="B87" s="11" t="str">
        <f>CONCATENATE("          ", "6118", " - ", "VACATION")</f>
        <v xml:space="preserve">          6118 - VACATION</v>
      </c>
      <c r="C87" s="11"/>
      <c r="D87" s="7">
        <v>1935.93</v>
      </c>
      <c r="E87" s="2"/>
      <c r="F87" s="6">
        <f t="shared" si="13"/>
        <v>5.2880721362824831E-3</v>
      </c>
      <c r="G87" s="2"/>
      <c r="H87" s="7">
        <v>1097.4711538461499</v>
      </c>
      <c r="I87" s="2"/>
      <c r="J87" s="6">
        <f t="shared" si="14"/>
        <v>3.2341820143697228E-3</v>
      </c>
      <c r="K87" s="2"/>
      <c r="L87" s="7">
        <f t="shared" si="15"/>
        <v>838.45884615385012</v>
      </c>
      <c r="M87" s="2"/>
      <c r="N87" s="6">
        <f t="shared" si="16"/>
        <v>0.7639916941920738</v>
      </c>
      <c r="O87" s="11"/>
      <c r="P87" s="7">
        <v>12928.9</v>
      </c>
      <c r="Q87" s="2"/>
      <c r="R87" s="6">
        <f t="shared" si="17"/>
        <v>7.9042547870677646E-3</v>
      </c>
      <c r="S87" s="2"/>
      <c r="T87" s="7">
        <v>9512.1461538461408</v>
      </c>
      <c r="U87" s="2"/>
      <c r="V87" s="6">
        <f t="shared" si="18"/>
        <v>3.3632003067020923E-3</v>
      </c>
      <c r="W87" s="2"/>
      <c r="X87" s="7">
        <f t="shared" si="19"/>
        <v>3416.7538461538588</v>
      </c>
      <c r="Y87" s="2"/>
      <c r="Z87" s="6">
        <f t="shared" si="20"/>
        <v>0.35919904834224281</v>
      </c>
    </row>
    <row r="88" spans="1:26" s="24" customFormat="1" hidden="1" outlineLevel="2" x14ac:dyDescent="0.25">
      <c r="A88" s="26"/>
      <c r="B88" s="11" t="str">
        <f>CONCATENATE("          ", "6119", " - ", "SICK LEAVE")</f>
        <v xml:space="preserve">          6119 - SICK LEAVE</v>
      </c>
      <c r="C88" s="11"/>
      <c r="D88" s="7">
        <v>1334.31</v>
      </c>
      <c r="E88" s="2"/>
      <c r="F88" s="6">
        <f t="shared" si="13"/>
        <v>3.6447224497595881E-3</v>
      </c>
      <c r="G88" s="2"/>
      <c r="H88" s="7">
        <v>1657.3310538461501</v>
      </c>
      <c r="I88" s="2"/>
      <c r="J88" s="6">
        <f t="shared" si="14"/>
        <v>4.8840557379761888E-3</v>
      </c>
      <c r="K88" s="2"/>
      <c r="L88" s="7">
        <f t="shared" si="15"/>
        <v>-323.02105384615015</v>
      </c>
      <c r="M88" s="2"/>
      <c r="N88" s="6">
        <f t="shared" si="16"/>
        <v>-0.19490436331143299</v>
      </c>
      <c r="O88" s="11"/>
      <c r="P88" s="7">
        <v>9127.2000000000007</v>
      </c>
      <c r="Q88" s="2"/>
      <c r="R88" s="6">
        <f t="shared" si="17"/>
        <v>5.5800349830631302E-3</v>
      </c>
      <c r="S88" s="2"/>
      <c r="T88" s="7">
        <v>14465.9351538461</v>
      </c>
      <c r="U88" s="2"/>
      <c r="V88" s="6">
        <f t="shared" si="18"/>
        <v>5.114706687562396E-3</v>
      </c>
      <c r="W88" s="2"/>
      <c r="X88" s="7">
        <f t="shared" si="19"/>
        <v>-5338.7351538460989</v>
      </c>
      <c r="Y88" s="2"/>
      <c r="Z88" s="6">
        <f t="shared" si="20"/>
        <v>-0.36905565364895709</v>
      </c>
    </row>
    <row r="89" spans="1:26" s="24" customFormat="1" hidden="1" outlineLevel="2" x14ac:dyDescent="0.25">
      <c r="A89" s="26"/>
      <c r="B89" s="11" t="str">
        <f>CONCATENATE("          ", "6156", " - ", "EMPLOYEE MEALS")</f>
        <v xml:space="preserve">          6156 - EMPLOYEE MEALS</v>
      </c>
      <c r="C89" s="11"/>
      <c r="D89" s="7">
        <v>490.58</v>
      </c>
      <c r="E89" s="2"/>
      <c r="F89" s="6">
        <f t="shared" si="13"/>
        <v>1.3400393757095868E-3</v>
      </c>
      <c r="G89" s="2"/>
      <c r="H89" s="7">
        <v>700</v>
      </c>
      <c r="I89" s="2"/>
      <c r="J89" s="6">
        <f t="shared" si="14"/>
        <v>2.062858237434983E-3</v>
      </c>
      <c r="K89" s="2"/>
      <c r="L89" s="7">
        <f t="shared" si="15"/>
        <v>-209.42000000000002</v>
      </c>
      <c r="M89" s="2"/>
      <c r="N89" s="6">
        <f t="shared" si="16"/>
        <v>-0.29917142857142859</v>
      </c>
      <c r="O89" s="11"/>
      <c r="P89" s="7">
        <v>3215.3</v>
      </c>
      <c r="Q89" s="2"/>
      <c r="R89" s="6">
        <f t="shared" si="17"/>
        <v>1.9657163731530898E-3</v>
      </c>
      <c r="S89" s="2"/>
      <c r="T89" s="7">
        <v>7000</v>
      </c>
      <c r="U89" s="2"/>
      <c r="V89" s="6">
        <f t="shared" si="18"/>
        <v>2.4749832231494373E-3</v>
      </c>
      <c r="W89" s="2"/>
      <c r="X89" s="7">
        <f t="shared" si="19"/>
        <v>-3784.7</v>
      </c>
      <c r="Y89" s="2"/>
      <c r="Z89" s="6">
        <f t="shared" si="20"/>
        <v>-0.54067142857142858</v>
      </c>
    </row>
    <row r="90" spans="1:26" s="25" customFormat="1" outlineLevel="1" collapsed="1" x14ac:dyDescent="0.25">
      <c r="A90" s="27"/>
      <c r="B90" s="13" t="str">
        <f>CONCATENATE("     ","*Payroll                                          ")</f>
        <v xml:space="preserve">     *Payroll                                          </v>
      </c>
      <c r="C90" s="13"/>
      <c r="D90" s="1">
        <f>SUM(OSRRefD22_1x_0)</f>
        <v>35217.1</v>
      </c>
      <c r="E90" s="1"/>
      <c r="F90" s="5">
        <f t="shared" ref="F90:F100" si="21">IF(D$12=0,0,D90/D$12)</f>
        <v>9.6196951971751987E-2</v>
      </c>
      <c r="G90" s="1"/>
      <c r="H90" s="1">
        <f>SUM(OSRRefH22_1x_0)</f>
        <v>65416.008269230799</v>
      </c>
      <c r="I90" s="1"/>
      <c r="J90" s="5">
        <f t="shared" ref="J90:J100" si="22">IF(H$12=0,0,H90/H$12)</f>
        <v>0.19277707359756818</v>
      </c>
      <c r="K90" s="1"/>
      <c r="L90" s="1">
        <f t="shared" ref="L90:L100" si="23">+D90-H90</f>
        <v>-30198.9082692308</v>
      </c>
      <c r="M90" s="1"/>
      <c r="N90" s="5">
        <f t="shared" ref="N90:N100" si="24">IF(H90=0,0,L90/H90)</f>
        <v>-0.46164400837394443</v>
      </c>
      <c r="O90" s="13"/>
      <c r="P90" s="1">
        <f>SUM(OSRRefP22_1x_0)</f>
        <v>305751.37</v>
      </c>
      <c r="Q90" s="1"/>
      <c r="R90" s="5">
        <f t="shared" ref="R90:R100" si="25">IF(P$12=0,0,P90/P$12)</f>
        <v>0.18692516223151445</v>
      </c>
      <c r="S90" s="1"/>
      <c r="T90" s="1">
        <f>SUM(OSRRefT22_1x_0)</f>
        <v>577305.96576923109</v>
      </c>
      <c r="U90" s="1"/>
      <c r="V90" s="5">
        <f t="shared" ref="V90:V100" si="26">IF(T$12=0,0,T90/T$12)</f>
        <v>0.20411751141470433</v>
      </c>
      <c r="W90" s="1"/>
      <c r="X90" s="1">
        <f t="shared" ref="X90:X100" si="27">+P90-T90</f>
        <v>-271554.59576923109</v>
      </c>
      <c r="Y90" s="1"/>
      <c r="Z90" s="5">
        <f t="shared" ref="Z90:Z100" si="28">IF(T90=0,0,X90/T90)</f>
        <v>-0.47038245206317642</v>
      </c>
    </row>
    <row r="91" spans="1:26" s="24" customFormat="1" hidden="1" outlineLevel="2" x14ac:dyDescent="0.25">
      <c r="A91" s="26"/>
      <c r="B91" s="11" t="str">
        <f>CONCATENATE("          ", "6001", " - ", "ADMINISTRATIVE SALARIES")</f>
        <v xml:space="preserve">          6001 - ADMINISTRATIVE SALARIES</v>
      </c>
      <c r="C91" s="11"/>
      <c r="D91" s="7"/>
      <c r="E91" s="2"/>
      <c r="F91" s="6">
        <f t="shared" si="21"/>
        <v>0</v>
      </c>
      <c r="G91" s="2"/>
      <c r="H91" s="7">
        <v>0</v>
      </c>
      <c r="I91" s="2"/>
      <c r="J91" s="6">
        <f t="shared" si="22"/>
        <v>0</v>
      </c>
      <c r="K91" s="2"/>
      <c r="L91" s="7">
        <f t="shared" si="23"/>
        <v>0</v>
      </c>
      <c r="M91" s="2"/>
      <c r="N91" s="6">
        <f t="shared" si="24"/>
        <v>0</v>
      </c>
      <c r="O91" s="11"/>
      <c r="P91" s="7"/>
      <c r="Q91" s="2"/>
      <c r="R91" s="6">
        <f t="shared" si="25"/>
        <v>0</v>
      </c>
      <c r="S91" s="2"/>
      <c r="T91" s="7">
        <v>0</v>
      </c>
      <c r="U91" s="2"/>
      <c r="V91" s="6">
        <f t="shared" si="26"/>
        <v>0</v>
      </c>
      <c r="W91" s="2"/>
      <c r="X91" s="7">
        <f t="shared" si="27"/>
        <v>0</v>
      </c>
      <c r="Y91" s="2"/>
      <c r="Z91" s="6">
        <f t="shared" si="28"/>
        <v>0</v>
      </c>
    </row>
    <row r="92" spans="1:26" s="24" customFormat="1" hidden="1" outlineLevel="2" x14ac:dyDescent="0.25">
      <c r="A92" s="26"/>
      <c r="B92" s="11" t="str">
        <f>CONCATENATE("          ", "6002", " - ", "STAFF SALARIES")</f>
        <v xml:space="preserve">          6002 - STAFF SALARIES</v>
      </c>
      <c r="C92" s="11"/>
      <c r="D92" s="7">
        <v>16953.36</v>
      </c>
      <c r="E92" s="2"/>
      <c r="F92" s="6">
        <f t="shared" si="21"/>
        <v>4.6308797648864364E-2</v>
      </c>
      <c r="G92" s="2"/>
      <c r="H92" s="7">
        <v>15304.8807692308</v>
      </c>
      <c r="I92" s="2"/>
      <c r="J92" s="6">
        <f t="shared" si="22"/>
        <v>4.5102570525382885E-2</v>
      </c>
      <c r="K92" s="2"/>
      <c r="L92" s="7">
        <f t="shared" si="23"/>
        <v>1648.4792307692005</v>
      </c>
      <c r="M92" s="2"/>
      <c r="N92" s="6">
        <f t="shared" si="24"/>
        <v>0.10770938079330432</v>
      </c>
      <c r="O92" s="11"/>
      <c r="P92" s="7">
        <v>139122.49</v>
      </c>
      <c r="Q92" s="2"/>
      <c r="R92" s="6">
        <f t="shared" si="25"/>
        <v>8.5054382628938816E-2</v>
      </c>
      <c r="S92" s="2"/>
      <c r="T92" s="7">
        <v>132736.07076923101</v>
      </c>
      <c r="U92" s="2"/>
      <c r="V92" s="6">
        <f t="shared" si="26"/>
        <v>4.693136403723188E-2</v>
      </c>
      <c r="W92" s="2"/>
      <c r="X92" s="7">
        <f t="shared" si="27"/>
        <v>6386.4192307689809</v>
      </c>
      <c r="Y92" s="2"/>
      <c r="Z92" s="6">
        <f t="shared" si="28"/>
        <v>4.8113667925820433E-2</v>
      </c>
    </row>
    <row r="93" spans="1:26" s="24" customFormat="1" hidden="1" outlineLevel="2" x14ac:dyDescent="0.25">
      <c r="A93" s="26"/>
      <c r="B93" s="11" t="str">
        <f>CONCATENATE("          ", "6003", " - ", "STAFF HOURLY-9 MONTH")</f>
        <v xml:space="preserve">          6003 - STAFF HOURLY-9 MONTH</v>
      </c>
      <c r="C93" s="11"/>
      <c r="D93" s="7"/>
      <c r="E93" s="2"/>
      <c r="F93" s="6">
        <f t="shared" si="21"/>
        <v>0</v>
      </c>
      <c r="G93" s="2"/>
      <c r="H93" s="7">
        <v>0</v>
      </c>
      <c r="I93" s="2"/>
      <c r="J93" s="6">
        <f t="shared" si="22"/>
        <v>0</v>
      </c>
      <c r="K93" s="2"/>
      <c r="L93" s="7">
        <f t="shared" si="23"/>
        <v>0</v>
      </c>
      <c r="M93" s="2"/>
      <c r="N93" s="6">
        <f t="shared" si="24"/>
        <v>0</v>
      </c>
      <c r="O93" s="11"/>
      <c r="P93" s="7"/>
      <c r="Q93" s="2"/>
      <c r="R93" s="6">
        <f t="shared" si="25"/>
        <v>0</v>
      </c>
      <c r="S93" s="2"/>
      <c r="T93" s="7">
        <v>0</v>
      </c>
      <c r="U93" s="2"/>
      <c r="V93" s="6">
        <f t="shared" si="26"/>
        <v>0</v>
      </c>
      <c r="W93" s="2"/>
      <c r="X93" s="7">
        <f t="shared" si="27"/>
        <v>0</v>
      </c>
      <c r="Y93" s="2"/>
      <c r="Z93" s="6">
        <f t="shared" si="28"/>
        <v>0</v>
      </c>
    </row>
    <row r="94" spans="1:26" s="24" customFormat="1" hidden="1" outlineLevel="2" x14ac:dyDescent="0.25">
      <c r="A94" s="26"/>
      <c r="B94" s="11" t="str">
        <f>CONCATENATE("          ", "6004", " - ", "STAFF HOURLY")</f>
        <v xml:space="preserve">          6004 - STAFF HOURLY</v>
      </c>
      <c r="C94" s="11"/>
      <c r="D94" s="7">
        <v>5641.76</v>
      </c>
      <c r="E94" s="2"/>
      <c r="F94" s="6">
        <f t="shared" si="21"/>
        <v>1.5410698659348769E-2</v>
      </c>
      <c r="G94" s="2"/>
      <c r="H94" s="7">
        <v>6871.3874999999998</v>
      </c>
      <c r="I94" s="2"/>
      <c r="J94" s="6">
        <f t="shared" si="22"/>
        <v>2.0249569009975394E-2</v>
      </c>
      <c r="K94" s="2"/>
      <c r="L94" s="7">
        <f t="shared" si="23"/>
        <v>-1229.6274999999996</v>
      </c>
      <c r="M94" s="2"/>
      <c r="N94" s="6">
        <f t="shared" si="24"/>
        <v>-0.17894893862411335</v>
      </c>
      <c r="O94" s="11"/>
      <c r="P94" s="7">
        <v>54591.54</v>
      </c>
      <c r="Q94" s="2"/>
      <c r="R94" s="6">
        <f t="shared" si="25"/>
        <v>3.3375263276721245E-2</v>
      </c>
      <c r="S94" s="2"/>
      <c r="T94" s="7">
        <v>59427.495000000003</v>
      </c>
      <c r="U94" s="2"/>
      <c r="V94" s="6">
        <f t="shared" si="26"/>
        <v>2.1011721874113869E-2</v>
      </c>
      <c r="W94" s="2"/>
      <c r="X94" s="7">
        <f t="shared" si="27"/>
        <v>-4835.9550000000017</v>
      </c>
      <c r="Y94" s="2"/>
      <c r="Z94" s="6">
        <f t="shared" si="28"/>
        <v>-8.1375716745254054E-2</v>
      </c>
    </row>
    <row r="95" spans="1:26" s="24" customFormat="1" hidden="1" outlineLevel="2" x14ac:dyDescent="0.25">
      <c r="A95" s="26"/>
      <c r="B95" s="11" t="str">
        <f>CONCATENATE("          ", "6005", " - ", "TEMPORARY WAGES-HOURLY")</f>
        <v xml:space="preserve">          6005 - TEMPORARY WAGES-HOURLY</v>
      </c>
      <c r="C95" s="11"/>
      <c r="D95" s="7">
        <v>4923.55</v>
      </c>
      <c r="E95" s="2"/>
      <c r="F95" s="6">
        <f t="shared" si="21"/>
        <v>1.3448878609553868E-2</v>
      </c>
      <c r="G95" s="2"/>
      <c r="H95" s="7">
        <v>0</v>
      </c>
      <c r="I95" s="2"/>
      <c r="J95" s="6">
        <f t="shared" si="22"/>
        <v>0</v>
      </c>
      <c r="K95" s="2"/>
      <c r="L95" s="7">
        <f t="shared" si="23"/>
        <v>4923.55</v>
      </c>
      <c r="M95" s="2"/>
      <c r="N95" s="6">
        <f t="shared" si="24"/>
        <v>0</v>
      </c>
      <c r="O95" s="11"/>
      <c r="P95" s="7">
        <v>42798.96</v>
      </c>
      <c r="Q95" s="2"/>
      <c r="R95" s="6">
        <f t="shared" si="25"/>
        <v>2.6165712818686952E-2</v>
      </c>
      <c r="S95" s="2"/>
      <c r="T95" s="7">
        <v>0</v>
      </c>
      <c r="U95" s="2"/>
      <c r="V95" s="6">
        <f t="shared" si="26"/>
        <v>0</v>
      </c>
      <c r="W95" s="2"/>
      <c r="X95" s="7">
        <f t="shared" si="27"/>
        <v>42798.96</v>
      </c>
      <c r="Y95" s="2"/>
      <c r="Z95" s="6">
        <f t="shared" si="28"/>
        <v>0</v>
      </c>
    </row>
    <row r="96" spans="1:26" s="24" customFormat="1" hidden="1" outlineLevel="2" x14ac:dyDescent="0.25">
      <c r="A96" s="26"/>
      <c r="B96" s="11" t="str">
        <f>CONCATENATE("          ", "6006", " - ", "TEMPORARY PART TIME")</f>
        <v xml:space="preserve">          6006 - TEMPORARY PART TIME</v>
      </c>
      <c r="C96" s="11"/>
      <c r="D96" s="7">
        <v>2003.66</v>
      </c>
      <c r="E96" s="2"/>
      <c r="F96" s="6">
        <f t="shared" si="21"/>
        <v>5.4730794070982731E-3</v>
      </c>
      <c r="G96" s="2"/>
      <c r="H96" s="7">
        <v>0</v>
      </c>
      <c r="I96" s="2"/>
      <c r="J96" s="6">
        <f t="shared" si="22"/>
        <v>0</v>
      </c>
      <c r="K96" s="2"/>
      <c r="L96" s="7">
        <f t="shared" si="23"/>
        <v>2003.66</v>
      </c>
      <c r="M96" s="2"/>
      <c r="N96" s="6">
        <f t="shared" si="24"/>
        <v>0</v>
      </c>
      <c r="O96" s="11"/>
      <c r="P96" s="7">
        <v>4267.12</v>
      </c>
      <c r="Q96" s="2"/>
      <c r="R96" s="6">
        <f t="shared" si="25"/>
        <v>2.6087605045280416E-3</v>
      </c>
      <c r="S96" s="2"/>
      <c r="T96" s="7">
        <v>0</v>
      </c>
      <c r="U96" s="2"/>
      <c r="V96" s="6">
        <f t="shared" si="26"/>
        <v>0</v>
      </c>
      <c r="W96" s="2"/>
      <c r="X96" s="7">
        <f t="shared" si="27"/>
        <v>4267.12</v>
      </c>
      <c r="Y96" s="2"/>
      <c r="Z96" s="6">
        <f t="shared" si="28"/>
        <v>0</v>
      </c>
    </row>
    <row r="97" spans="1:26" s="24" customFormat="1" hidden="1" outlineLevel="2" x14ac:dyDescent="0.25">
      <c r="A97" s="26"/>
      <c r="B97" s="11" t="str">
        <f>CONCATENATE("          ", "6007", " - ", "STUDENT HOURLY")</f>
        <v xml:space="preserve">          6007 - STUDENT HOURLY</v>
      </c>
      <c r="C97" s="11"/>
      <c r="D97" s="7">
        <v>4185.92</v>
      </c>
      <c r="E97" s="2"/>
      <c r="F97" s="6">
        <f t="shared" si="21"/>
        <v>1.1434012033858441E-2</v>
      </c>
      <c r="G97" s="2"/>
      <c r="H97" s="7">
        <v>0</v>
      </c>
      <c r="I97" s="2"/>
      <c r="J97" s="6">
        <f t="shared" si="22"/>
        <v>0</v>
      </c>
      <c r="K97" s="2"/>
      <c r="L97" s="7">
        <f t="shared" si="23"/>
        <v>4185.92</v>
      </c>
      <c r="M97" s="2"/>
      <c r="N97" s="6">
        <f t="shared" si="24"/>
        <v>0</v>
      </c>
      <c r="O97" s="11"/>
      <c r="P97" s="7">
        <v>57937.08</v>
      </c>
      <c r="Q97" s="2"/>
      <c r="R97" s="6">
        <f t="shared" si="25"/>
        <v>3.5420603604229904E-2</v>
      </c>
      <c r="S97" s="2"/>
      <c r="T97" s="7">
        <v>68776.5</v>
      </c>
      <c r="U97" s="2"/>
      <c r="V97" s="6">
        <f t="shared" si="26"/>
        <v>2.4317240520991039E-2</v>
      </c>
      <c r="W97" s="2"/>
      <c r="X97" s="7">
        <f t="shared" si="27"/>
        <v>-10839.419999999998</v>
      </c>
      <c r="Y97" s="2"/>
      <c r="Z97" s="6">
        <f t="shared" si="28"/>
        <v>-0.15760354190748291</v>
      </c>
    </row>
    <row r="98" spans="1:26" s="24" customFormat="1" hidden="1" outlineLevel="2" x14ac:dyDescent="0.25">
      <c r="A98" s="26"/>
      <c r="B98" s="11" t="str">
        <f>CONCATENATE("          ", "6008", " - ", "STUDENT HOURLY-FICA EXEMPT")</f>
        <v xml:space="preserve">          6008 - STUDENT HOURLY-FICA EXEMPT</v>
      </c>
      <c r="C98" s="11"/>
      <c r="D98" s="7">
        <v>1508.85</v>
      </c>
      <c r="E98" s="2"/>
      <c r="F98" s="6">
        <f t="shared" si="21"/>
        <v>4.1214856130282725E-3</v>
      </c>
      <c r="G98" s="2"/>
      <c r="H98" s="7">
        <v>43239.74</v>
      </c>
      <c r="I98" s="2"/>
      <c r="J98" s="6">
        <f t="shared" si="22"/>
        <v>0.12742493406220989</v>
      </c>
      <c r="K98" s="2"/>
      <c r="L98" s="7">
        <f t="shared" si="23"/>
        <v>-41730.89</v>
      </c>
      <c r="M98" s="2"/>
      <c r="N98" s="6">
        <f t="shared" si="24"/>
        <v>-0.96510501682017513</v>
      </c>
      <c r="O98" s="11"/>
      <c r="P98" s="7">
        <v>7034.18</v>
      </c>
      <c r="Q98" s="2"/>
      <c r="R98" s="6">
        <f t="shared" si="25"/>
        <v>4.3004393984094804E-3</v>
      </c>
      <c r="S98" s="2"/>
      <c r="T98" s="7">
        <v>316365.90000000002</v>
      </c>
      <c r="U98" s="2"/>
      <c r="V98" s="6">
        <f t="shared" si="26"/>
        <v>0.11185718498236752</v>
      </c>
      <c r="W98" s="2"/>
      <c r="X98" s="7">
        <f t="shared" si="27"/>
        <v>-309331.72000000003</v>
      </c>
      <c r="Y98" s="2"/>
      <c r="Z98" s="6">
        <f t="shared" si="28"/>
        <v>-0.97776568207888404</v>
      </c>
    </row>
    <row r="99" spans="1:26" s="24" customFormat="1" hidden="1" outlineLevel="2" x14ac:dyDescent="0.25">
      <c r="A99" s="26"/>
      <c r="B99" s="11" t="str">
        <f>CONCATENATE("          ", "6009", " - ", "TEMPORARY-SEASONAL")</f>
        <v xml:space="preserve">          6009 - TEMPORARY-SEASONAL</v>
      </c>
      <c r="C99" s="11"/>
      <c r="D99" s="7"/>
      <c r="E99" s="2"/>
      <c r="F99" s="6">
        <f t="shared" si="21"/>
        <v>0</v>
      </c>
      <c r="G99" s="2"/>
      <c r="H99" s="7">
        <v>0</v>
      </c>
      <c r="I99" s="2"/>
      <c r="J99" s="6">
        <f t="shared" si="22"/>
        <v>0</v>
      </c>
      <c r="K99" s="2"/>
      <c r="L99" s="7">
        <f t="shared" si="23"/>
        <v>0</v>
      </c>
      <c r="M99" s="2"/>
      <c r="N99" s="6">
        <f t="shared" si="24"/>
        <v>0</v>
      </c>
      <c r="O99" s="11"/>
      <c r="P99" s="7"/>
      <c r="Q99" s="2"/>
      <c r="R99" s="6">
        <f t="shared" si="25"/>
        <v>0</v>
      </c>
      <c r="S99" s="2"/>
      <c r="T99" s="7">
        <v>0</v>
      </c>
      <c r="U99" s="2"/>
      <c r="V99" s="6">
        <f t="shared" si="26"/>
        <v>0</v>
      </c>
      <c r="W99" s="2"/>
      <c r="X99" s="7">
        <f t="shared" si="27"/>
        <v>0</v>
      </c>
      <c r="Y99" s="2"/>
      <c r="Z99" s="6">
        <f t="shared" si="28"/>
        <v>0</v>
      </c>
    </row>
    <row r="100" spans="1:26" s="24" customFormat="1" hidden="1" outlineLevel="2" x14ac:dyDescent="0.25">
      <c r="A100" s="26"/>
      <c r="B100" s="11" t="str">
        <f>CONCATENATE("          ", "6010", " - ", "GRATUITY")</f>
        <v xml:space="preserve">          6010 - GRATUITY</v>
      </c>
      <c r="C100" s="11"/>
      <c r="D100" s="7"/>
      <c r="E100" s="2"/>
      <c r="F100" s="6">
        <f t="shared" si="21"/>
        <v>0</v>
      </c>
      <c r="G100" s="2"/>
      <c r="H100" s="7">
        <v>0</v>
      </c>
      <c r="I100" s="2"/>
      <c r="J100" s="6">
        <f t="shared" si="22"/>
        <v>0</v>
      </c>
      <c r="K100" s="2"/>
      <c r="L100" s="7">
        <f t="shared" si="23"/>
        <v>0</v>
      </c>
      <c r="M100" s="2"/>
      <c r="N100" s="6">
        <f t="shared" si="24"/>
        <v>0</v>
      </c>
      <c r="O100" s="11"/>
      <c r="P100" s="7"/>
      <c r="Q100" s="2"/>
      <c r="R100" s="6">
        <f t="shared" si="25"/>
        <v>0</v>
      </c>
      <c r="S100" s="2"/>
      <c r="T100" s="7">
        <v>0</v>
      </c>
      <c r="U100" s="2"/>
      <c r="V100" s="6">
        <f t="shared" si="26"/>
        <v>0</v>
      </c>
      <c r="W100" s="2"/>
      <c r="X100" s="7">
        <f t="shared" si="27"/>
        <v>0</v>
      </c>
      <c r="Y100" s="2"/>
      <c r="Z100" s="6">
        <f t="shared" si="28"/>
        <v>0</v>
      </c>
    </row>
    <row r="101" spans="1:26" s="25" customFormat="1" outlineLevel="1" collapsed="1" x14ac:dyDescent="0.25">
      <c r="A101" s="27"/>
      <c r="B101" s="13" t="str">
        <f>CONCATENATE("     ","Advertising/Promo                                 ")</f>
        <v xml:space="preserve">     Advertising/Promo                                 </v>
      </c>
      <c r="C101" s="13"/>
      <c r="D101" s="1">
        <f>SUM(OSRRefD22_2x_0)</f>
        <v>75.62</v>
      </c>
      <c r="E101" s="1"/>
      <c r="F101" s="5">
        <f t="shared" ref="F101:F109" si="29">IF(D$12=0,0,D101/D$12)</f>
        <v>2.0655912917599364E-4</v>
      </c>
      <c r="G101" s="1"/>
      <c r="H101" s="1">
        <f>SUM(OSRRefH22_2x_0)</f>
        <v>580</v>
      </c>
      <c r="I101" s="1"/>
      <c r="J101" s="5">
        <f t="shared" ref="J101:J109" si="30">IF(H$12=0,0,H101/H$12)</f>
        <v>1.7092253967318431E-3</v>
      </c>
      <c r="K101" s="1"/>
      <c r="L101" s="1">
        <f t="shared" ref="L101:L109" si="31">+D101-H101</f>
        <v>-504.38</v>
      </c>
      <c r="M101" s="1"/>
      <c r="N101" s="5">
        <f t="shared" ref="N101:N109" si="32">IF(H101=0,0,L101/H101)</f>
        <v>-0.86962068965517236</v>
      </c>
      <c r="O101" s="13"/>
      <c r="P101" s="1">
        <f>SUM(OSRRefP22_2x_0)</f>
        <v>12893.54</v>
      </c>
      <c r="Q101" s="1"/>
      <c r="R101" s="5">
        <f t="shared" ref="R101:R109" si="33">IF(P$12=0,0,P101/P$12)</f>
        <v>7.8826369812783539E-3</v>
      </c>
      <c r="S101" s="1"/>
      <c r="T101" s="1">
        <f>SUM(OSRRefT22_2x_0)</f>
        <v>8300</v>
      </c>
      <c r="U101" s="1"/>
      <c r="V101" s="5">
        <f t="shared" ref="V101:V109" si="34">IF(T$12=0,0,T101/T$12)</f>
        <v>2.9346229645914757E-3</v>
      </c>
      <c r="W101" s="1"/>
      <c r="X101" s="1">
        <f t="shared" ref="X101:X109" si="35">+P101-T101</f>
        <v>4593.5400000000009</v>
      </c>
      <c r="Y101" s="1"/>
      <c r="Z101" s="5">
        <f t="shared" ref="Z101:Z109" si="36">IF(T101=0,0,X101/T101)</f>
        <v>0.55343855421686761</v>
      </c>
    </row>
    <row r="102" spans="1:26" s="24" customFormat="1" hidden="1" outlineLevel="2" x14ac:dyDescent="0.25">
      <c r="A102" s="26"/>
      <c r="B102" s="11" t="str">
        <f>CONCATENATE("          ", "6362", " - ", "ADVERTISING EXPENSE")</f>
        <v xml:space="preserve">          6362 - ADVERTISING EXPENSE</v>
      </c>
      <c r="C102" s="11"/>
      <c r="D102" s="7">
        <v>75.62</v>
      </c>
      <c r="E102" s="2"/>
      <c r="F102" s="6">
        <f t="shared" si="29"/>
        <v>2.0655912917599364E-4</v>
      </c>
      <c r="G102" s="2"/>
      <c r="H102" s="7">
        <v>580</v>
      </c>
      <c r="I102" s="2"/>
      <c r="J102" s="6">
        <f t="shared" si="30"/>
        <v>1.7092253967318431E-3</v>
      </c>
      <c r="K102" s="2"/>
      <c r="L102" s="7">
        <f t="shared" si="31"/>
        <v>-504.38</v>
      </c>
      <c r="M102" s="2"/>
      <c r="N102" s="6">
        <f t="shared" si="32"/>
        <v>-0.86962068965517236</v>
      </c>
      <c r="O102" s="11"/>
      <c r="P102" s="7">
        <v>12893.54</v>
      </c>
      <c r="Q102" s="2"/>
      <c r="R102" s="6">
        <f t="shared" si="33"/>
        <v>7.8826369812783539E-3</v>
      </c>
      <c r="S102" s="2"/>
      <c r="T102" s="7">
        <v>8300</v>
      </c>
      <c r="U102" s="2"/>
      <c r="V102" s="6">
        <f t="shared" si="34"/>
        <v>2.9346229645914757E-3</v>
      </c>
      <c r="W102" s="2"/>
      <c r="X102" s="7">
        <f t="shared" si="35"/>
        <v>4593.5400000000009</v>
      </c>
      <c r="Y102" s="2"/>
      <c r="Z102" s="6">
        <f t="shared" si="36"/>
        <v>0.55343855421686761</v>
      </c>
    </row>
    <row r="103" spans="1:26" s="25" customFormat="1" outlineLevel="1" collapsed="1" x14ac:dyDescent="0.25">
      <c r="A103" s="27"/>
      <c r="B103" s="13" t="str">
        <f>CONCATENATE("     ","Bad Debts/Over/Short                              ")</f>
        <v xml:space="preserve">     Bad Debts/Over/Short                              </v>
      </c>
      <c r="C103" s="13"/>
      <c r="D103" s="1">
        <f>SUM(OSRRefD22_3x_0)</f>
        <v>0</v>
      </c>
      <c r="E103" s="1"/>
      <c r="F103" s="5">
        <f t="shared" si="29"/>
        <v>0</v>
      </c>
      <c r="G103" s="1"/>
      <c r="H103" s="1">
        <f>SUM(OSRRefH22_3x_0)</f>
        <v>0</v>
      </c>
      <c r="I103" s="1"/>
      <c r="J103" s="5">
        <f t="shared" si="30"/>
        <v>0</v>
      </c>
      <c r="K103" s="1"/>
      <c r="L103" s="1">
        <f t="shared" si="31"/>
        <v>0</v>
      </c>
      <c r="M103" s="1"/>
      <c r="N103" s="5">
        <f t="shared" si="32"/>
        <v>0</v>
      </c>
      <c r="O103" s="13"/>
      <c r="P103" s="1">
        <f>SUM(OSRRefP22_3x_0)</f>
        <v>0</v>
      </c>
      <c r="Q103" s="1"/>
      <c r="R103" s="5">
        <f t="shared" si="33"/>
        <v>0</v>
      </c>
      <c r="S103" s="1"/>
      <c r="T103" s="1">
        <f>SUM(OSRRefT22_3x_0)</f>
        <v>0</v>
      </c>
      <c r="U103" s="1"/>
      <c r="V103" s="5">
        <f t="shared" si="34"/>
        <v>0</v>
      </c>
      <c r="W103" s="1"/>
      <c r="X103" s="1">
        <f t="shared" si="35"/>
        <v>0</v>
      </c>
      <c r="Y103" s="1"/>
      <c r="Z103" s="5">
        <f t="shared" si="36"/>
        <v>0</v>
      </c>
    </row>
    <row r="104" spans="1:26" s="24" customFormat="1" hidden="1" outlineLevel="2" x14ac:dyDescent="0.25">
      <c r="A104" s="26"/>
      <c r="B104" s="11" t="str">
        <f>CONCATENATE("          ", "6272", " - ", "CASH (OVER/SHORT)")</f>
        <v xml:space="preserve">          6272 - CASH (OVER/SHORT)</v>
      </c>
      <c r="C104" s="11"/>
      <c r="D104" s="7"/>
      <c r="E104" s="2"/>
      <c r="F104" s="6">
        <f t="shared" si="29"/>
        <v>0</v>
      </c>
      <c r="G104" s="2"/>
      <c r="H104" s="7">
        <v>0</v>
      </c>
      <c r="I104" s="2"/>
      <c r="J104" s="6">
        <f t="shared" si="30"/>
        <v>0</v>
      </c>
      <c r="K104" s="2"/>
      <c r="L104" s="7">
        <f t="shared" si="31"/>
        <v>0</v>
      </c>
      <c r="M104" s="2"/>
      <c r="N104" s="6">
        <f t="shared" si="32"/>
        <v>0</v>
      </c>
      <c r="O104" s="11"/>
      <c r="P104" s="7"/>
      <c r="Q104" s="2"/>
      <c r="R104" s="6">
        <f t="shared" si="33"/>
        <v>0</v>
      </c>
      <c r="S104" s="2"/>
      <c r="T104" s="7">
        <v>0</v>
      </c>
      <c r="U104" s="2"/>
      <c r="V104" s="6">
        <f t="shared" si="34"/>
        <v>0</v>
      </c>
      <c r="W104" s="2"/>
      <c r="X104" s="7">
        <f t="shared" si="35"/>
        <v>0</v>
      </c>
      <c r="Y104" s="2"/>
      <c r="Z104" s="6">
        <f t="shared" si="36"/>
        <v>0</v>
      </c>
    </row>
    <row r="105" spans="1:26" s="25" customFormat="1" outlineLevel="1" collapsed="1" x14ac:dyDescent="0.25">
      <c r="A105" s="27"/>
      <c r="B105" s="13" t="str">
        <f>CONCATENATE("     ","Bank/card Fees                                    ")</f>
        <v xml:space="preserve">     Bank/card Fees                                    </v>
      </c>
      <c r="C105" s="13"/>
      <c r="D105" s="1">
        <f>SUM(OSRRefD22_4x_0)</f>
        <v>0</v>
      </c>
      <c r="E105" s="1"/>
      <c r="F105" s="5">
        <f t="shared" si="29"/>
        <v>0</v>
      </c>
      <c r="G105" s="1"/>
      <c r="H105" s="1">
        <f>SUM(OSRRefH22_4x_0)</f>
        <v>0</v>
      </c>
      <c r="I105" s="1"/>
      <c r="J105" s="5">
        <f t="shared" si="30"/>
        <v>0</v>
      </c>
      <c r="K105" s="1"/>
      <c r="L105" s="1">
        <f t="shared" si="31"/>
        <v>0</v>
      </c>
      <c r="M105" s="1"/>
      <c r="N105" s="5">
        <f t="shared" si="32"/>
        <v>0</v>
      </c>
      <c r="O105" s="13"/>
      <c r="P105" s="1">
        <f>SUM(OSRRefP22_4x_0)</f>
        <v>0</v>
      </c>
      <c r="Q105" s="1"/>
      <c r="R105" s="5">
        <f t="shared" si="33"/>
        <v>0</v>
      </c>
      <c r="S105" s="1"/>
      <c r="T105" s="1">
        <f>SUM(OSRRefT22_4x_0)</f>
        <v>0</v>
      </c>
      <c r="U105" s="1"/>
      <c r="V105" s="5">
        <f t="shared" si="34"/>
        <v>0</v>
      </c>
      <c r="W105" s="1"/>
      <c r="X105" s="1">
        <f t="shared" si="35"/>
        <v>0</v>
      </c>
      <c r="Y105" s="1"/>
      <c r="Z105" s="5">
        <f t="shared" si="36"/>
        <v>0</v>
      </c>
    </row>
    <row r="106" spans="1:26" s="24" customFormat="1" hidden="1" outlineLevel="2" x14ac:dyDescent="0.25">
      <c r="A106" s="26"/>
      <c r="B106" s="11" t="str">
        <f>CONCATENATE("          ", "6381", " - ", "BANK/CREDIT CARD FEES")</f>
        <v xml:space="preserve">          6381 - BANK/CREDIT CARD FEES</v>
      </c>
      <c r="C106" s="11"/>
      <c r="D106" s="7"/>
      <c r="E106" s="2"/>
      <c r="F106" s="6">
        <f t="shared" si="29"/>
        <v>0</v>
      </c>
      <c r="G106" s="2"/>
      <c r="H106" s="7">
        <v>0</v>
      </c>
      <c r="I106" s="2"/>
      <c r="J106" s="6">
        <f t="shared" si="30"/>
        <v>0</v>
      </c>
      <c r="K106" s="2"/>
      <c r="L106" s="7">
        <f t="shared" si="31"/>
        <v>0</v>
      </c>
      <c r="M106" s="2"/>
      <c r="N106" s="6">
        <f t="shared" si="32"/>
        <v>0</v>
      </c>
      <c r="O106" s="11"/>
      <c r="P106" s="7"/>
      <c r="Q106" s="2"/>
      <c r="R106" s="6">
        <f t="shared" si="33"/>
        <v>0</v>
      </c>
      <c r="S106" s="2"/>
      <c r="T106" s="7">
        <v>0</v>
      </c>
      <c r="U106" s="2"/>
      <c r="V106" s="6">
        <f t="shared" si="34"/>
        <v>0</v>
      </c>
      <c r="W106" s="2"/>
      <c r="X106" s="7">
        <f t="shared" si="35"/>
        <v>0</v>
      </c>
      <c r="Y106" s="2"/>
      <c r="Z106" s="6">
        <f t="shared" si="36"/>
        <v>0</v>
      </c>
    </row>
    <row r="107" spans="1:26" s="25" customFormat="1" outlineLevel="1" collapsed="1" x14ac:dyDescent="0.25">
      <c r="A107" s="27"/>
      <c r="B107" s="13" t="str">
        <f>CONCATENATE("     ","Discounts and Markdowns                           ")</f>
        <v xml:space="preserve">     Discounts and Markdowns                           </v>
      </c>
      <c r="C107" s="13"/>
      <c r="D107" s="1">
        <f>SUM(OSRRefD22_5x_0)</f>
        <v>0</v>
      </c>
      <c r="E107" s="1"/>
      <c r="F107" s="5">
        <f t="shared" si="29"/>
        <v>0</v>
      </c>
      <c r="G107" s="1"/>
      <c r="H107" s="1">
        <f>SUM(OSRRefH22_5x_0)</f>
        <v>25450</v>
      </c>
      <c r="I107" s="1"/>
      <c r="J107" s="5">
        <f t="shared" si="30"/>
        <v>7.4999631632457597E-2</v>
      </c>
      <c r="K107" s="1"/>
      <c r="L107" s="1">
        <f t="shared" si="31"/>
        <v>-25450</v>
      </c>
      <c r="M107" s="1"/>
      <c r="N107" s="5">
        <f t="shared" si="32"/>
        <v>-1</v>
      </c>
      <c r="O107" s="13"/>
      <c r="P107" s="1">
        <f>SUM(OSRRefP22_5x_0)</f>
        <v>0</v>
      </c>
      <c r="Q107" s="1"/>
      <c r="R107" s="5">
        <f t="shared" si="33"/>
        <v>0</v>
      </c>
      <c r="S107" s="1"/>
      <c r="T107" s="1">
        <f>SUM(OSRRefT22_5x_0)</f>
        <v>212122</v>
      </c>
      <c r="U107" s="1"/>
      <c r="V107" s="5">
        <f t="shared" si="34"/>
        <v>7.499977018012928E-2</v>
      </c>
      <c r="W107" s="1"/>
      <c r="X107" s="1">
        <f t="shared" si="35"/>
        <v>-212122</v>
      </c>
      <c r="Y107" s="1"/>
      <c r="Z107" s="5">
        <f t="shared" si="36"/>
        <v>-1</v>
      </c>
    </row>
    <row r="108" spans="1:26" s="24" customFormat="1" hidden="1" outlineLevel="2" x14ac:dyDescent="0.25">
      <c r="A108" s="26"/>
      <c r="B108" s="11" t="str">
        <f>CONCATENATE("          ", "6382", " - ", "DISCOUNTS/MARK DOWNS")</f>
        <v xml:space="preserve">          6382 - DISCOUNTS/MARK DOWNS</v>
      </c>
      <c r="C108" s="11"/>
      <c r="D108" s="7">
        <v>0</v>
      </c>
      <c r="E108" s="2"/>
      <c r="F108" s="6">
        <f t="shared" si="29"/>
        <v>0</v>
      </c>
      <c r="G108" s="2"/>
      <c r="H108" s="7">
        <v>25450</v>
      </c>
      <c r="I108" s="2"/>
      <c r="J108" s="6">
        <f t="shared" si="30"/>
        <v>7.4999631632457597E-2</v>
      </c>
      <c r="K108" s="2"/>
      <c r="L108" s="7">
        <f t="shared" si="31"/>
        <v>-25450</v>
      </c>
      <c r="M108" s="2"/>
      <c r="N108" s="6">
        <f t="shared" si="32"/>
        <v>-1</v>
      </c>
      <c r="O108" s="11"/>
      <c r="P108" s="7">
        <v>0</v>
      </c>
      <c r="Q108" s="2"/>
      <c r="R108" s="6">
        <f t="shared" si="33"/>
        <v>0</v>
      </c>
      <c r="S108" s="2"/>
      <c r="T108" s="7">
        <v>212122</v>
      </c>
      <c r="U108" s="2"/>
      <c r="V108" s="6">
        <f t="shared" si="34"/>
        <v>7.499977018012928E-2</v>
      </c>
      <c r="W108" s="2"/>
      <c r="X108" s="7">
        <f t="shared" si="35"/>
        <v>-212122</v>
      </c>
      <c r="Y108" s="2"/>
      <c r="Z108" s="6">
        <f t="shared" si="36"/>
        <v>-1</v>
      </c>
    </row>
    <row r="109" spans="1:26" s="24" customFormat="1" hidden="1" outlineLevel="2" x14ac:dyDescent="0.25">
      <c r="A109" s="26"/>
      <c r="B109" s="11" t="str">
        <f>CONCATENATE("          ", "9175", " - ", "EARNED DISCOUNTS")</f>
        <v xml:space="preserve">          9175 - EARNED DISCOUNTS</v>
      </c>
      <c r="C109" s="11"/>
      <c r="D109" s="7">
        <v>0</v>
      </c>
      <c r="E109" s="2"/>
      <c r="F109" s="6">
        <f t="shared" si="29"/>
        <v>0</v>
      </c>
      <c r="G109" s="2"/>
      <c r="H109" s="7"/>
      <c r="I109" s="2"/>
      <c r="J109" s="6">
        <f t="shared" si="30"/>
        <v>0</v>
      </c>
      <c r="K109" s="2"/>
      <c r="L109" s="7">
        <f t="shared" si="31"/>
        <v>0</v>
      </c>
      <c r="M109" s="2"/>
      <c r="N109" s="6">
        <f t="shared" si="32"/>
        <v>0</v>
      </c>
      <c r="O109" s="11"/>
      <c r="P109" s="7">
        <v>0</v>
      </c>
      <c r="Q109" s="2"/>
      <c r="R109" s="6">
        <f t="shared" si="33"/>
        <v>0</v>
      </c>
      <c r="S109" s="2"/>
      <c r="T109" s="7"/>
      <c r="U109" s="2"/>
      <c r="V109" s="6">
        <f t="shared" si="34"/>
        <v>0</v>
      </c>
      <c r="W109" s="2"/>
      <c r="X109" s="7">
        <f t="shared" si="35"/>
        <v>0</v>
      </c>
      <c r="Y109" s="2"/>
      <c r="Z109" s="6">
        <f t="shared" si="36"/>
        <v>0</v>
      </c>
    </row>
    <row r="110" spans="1:26" s="25" customFormat="1" outlineLevel="1" collapsed="1" x14ac:dyDescent="0.25">
      <c r="A110" s="27"/>
      <c r="B110" s="13" t="str">
        <f>CONCATENATE("     ","Employees' Appreciation                           ")</f>
        <v xml:space="preserve">     Employees' Appreciation                           </v>
      </c>
      <c r="C110" s="13"/>
      <c r="D110" s="1">
        <f>SUM(OSRRefD22_6x_0)</f>
        <v>0</v>
      </c>
      <c r="E110" s="1"/>
      <c r="F110" s="5">
        <f t="shared" ref="F110:F114" si="37">IF(D$12=0,0,D110/D$12)</f>
        <v>0</v>
      </c>
      <c r="G110" s="1"/>
      <c r="H110" s="1">
        <f>SUM(OSRRefH22_6x_0)</f>
        <v>150</v>
      </c>
      <c r="I110" s="1"/>
      <c r="J110" s="5">
        <f t="shared" ref="J110:J114" si="38">IF(H$12=0,0,H110/H$12)</f>
        <v>4.4204105087892494E-4</v>
      </c>
      <c r="K110" s="1"/>
      <c r="L110" s="1">
        <f t="shared" ref="L110:L114" si="39">+D110-H110</f>
        <v>-150</v>
      </c>
      <c r="M110" s="1"/>
      <c r="N110" s="5">
        <f t="shared" ref="N110:N114" si="40">IF(H110=0,0,L110/H110)</f>
        <v>-1</v>
      </c>
      <c r="O110" s="13"/>
      <c r="P110" s="1">
        <f>SUM(OSRRefP22_6x_0)</f>
        <v>0</v>
      </c>
      <c r="Q110" s="1"/>
      <c r="R110" s="5">
        <f t="shared" ref="R110:R114" si="41">IF(P$12=0,0,P110/P$12)</f>
        <v>0</v>
      </c>
      <c r="S110" s="1"/>
      <c r="T110" s="1">
        <f>SUM(OSRRefT22_6x_0)</f>
        <v>1500</v>
      </c>
      <c r="U110" s="1"/>
      <c r="V110" s="5">
        <f t="shared" ref="V110:V114" si="42">IF(T$12=0,0,T110/T$12)</f>
        <v>5.303535478177366E-4</v>
      </c>
      <c r="W110" s="1"/>
      <c r="X110" s="1">
        <f t="shared" ref="X110:X114" si="43">+P110-T110</f>
        <v>-1500</v>
      </c>
      <c r="Y110" s="1"/>
      <c r="Z110" s="5">
        <f t="shared" ref="Z110:Z114" si="44">IF(T110=0,0,X110/T110)</f>
        <v>-1</v>
      </c>
    </row>
    <row r="111" spans="1:26" s="24" customFormat="1" hidden="1" outlineLevel="2" x14ac:dyDescent="0.25">
      <c r="A111" s="26"/>
      <c r="B111" s="11" t="str">
        <f>CONCATENATE("          ", "6277", " - ", "EMPLOYEE APPRECIATION")</f>
        <v xml:space="preserve">          6277 - EMPLOYEE APPRECIATION</v>
      </c>
      <c r="C111" s="11"/>
      <c r="D111" s="7"/>
      <c r="E111" s="2"/>
      <c r="F111" s="6">
        <f t="shared" si="37"/>
        <v>0</v>
      </c>
      <c r="G111" s="2"/>
      <c r="H111" s="7">
        <v>150</v>
      </c>
      <c r="I111" s="2"/>
      <c r="J111" s="6">
        <f t="shared" si="38"/>
        <v>4.4204105087892494E-4</v>
      </c>
      <c r="K111" s="2"/>
      <c r="L111" s="7">
        <f t="shared" si="39"/>
        <v>-150</v>
      </c>
      <c r="M111" s="2"/>
      <c r="N111" s="6">
        <f t="shared" si="40"/>
        <v>-1</v>
      </c>
      <c r="O111" s="11"/>
      <c r="P111" s="7"/>
      <c r="Q111" s="2"/>
      <c r="R111" s="6">
        <f t="shared" si="41"/>
        <v>0</v>
      </c>
      <c r="S111" s="2"/>
      <c r="T111" s="7">
        <v>1500</v>
      </c>
      <c r="U111" s="2"/>
      <c r="V111" s="6">
        <f t="shared" si="42"/>
        <v>5.303535478177366E-4</v>
      </c>
      <c r="W111" s="2"/>
      <c r="X111" s="7">
        <f t="shared" si="43"/>
        <v>-1500</v>
      </c>
      <c r="Y111" s="2"/>
      <c r="Z111" s="6">
        <f t="shared" si="44"/>
        <v>-1</v>
      </c>
    </row>
    <row r="112" spans="1:26" s="25" customFormat="1" outlineLevel="1" collapsed="1" x14ac:dyDescent="0.25">
      <c r="A112" s="27"/>
      <c r="B112" s="13" t="str">
        <f>CONCATENATE("     ","Freight out/Postage                               ")</f>
        <v xml:space="preserve">     Freight out/Postage                               </v>
      </c>
      <c r="C112" s="13"/>
      <c r="D112" s="1">
        <f>SUM(OSRRefD22_7x_0)</f>
        <v>40.200000000000003</v>
      </c>
      <c r="E112" s="1"/>
      <c r="F112" s="5">
        <f t="shared" si="37"/>
        <v>1.098079475386795E-4</v>
      </c>
      <c r="G112" s="1"/>
      <c r="H112" s="1">
        <f>SUM(OSRRefH22_7x_0)</f>
        <v>10</v>
      </c>
      <c r="I112" s="1"/>
      <c r="J112" s="5">
        <f t="shared" si="38"/>
        <v>2.9469403391928329E-5</v>
      </c>
      <c r="K112" s="1"/>
      <c r="L112" s="1">
        <f t="shared" si="39"/>
        <v>30.200000000000003</v>
      </c>
      <c r="M112" s="1"/>
      <c r="N112" s="5">
        <f t="shared" si="40"/>
        <v>3.0200000000000005</v>
      </c>
      <c r="O112" s="13"/>
      <c r="P112" s="1">
        <f>SUM(OSRRefP22_7x_0)</f>
        <v>-175.89999999999998</v>
      </c>
      <c r="Q112" s="1"/>
      <c r="R112" s="5">
        <f t="shared" si="41"/>
        <v>-1.0753880198974542E-4</v>
      </c>
      <c r="S112" s="1"/>
      <c r="T112" s="1">
        <f>SUM(OSRRefT22_7x_0)</f>
        <v>100</v>
      </c>
      <c r="U112" s="1"/>
      <c r="V112" s="5">
        <f t="shared" si="42"/>
        <v>3.5356903187849107E-5</v>
      </c>
      <c r="W112" s="1"/>
      <c r="X112" s="1">
        <f t="shared" si="43"/>
        <v>-275.89999999999998</v>
      </c>
      <c r="Y112" s="1"/>
      <c r="Z112" s="5">
        <f t="shared" si="44"/>
        <v>-2.7589999999999999</v>
      </c>
    </row>
    <row r="113" spans="1:26" s="24" customFormat="1" hidden="1" outlineLevel="2" x14ac:dyDescent="0.25">
      <c r="A113" s="26"/>
      <c r="B113" s="11" t="str">
        <f>CONCATENATE("          ", "6305", " - ", "FREIGHT OUT")</f>
        <v xml:space="preserve">          6305 - FREIGHT OUT</v>
      </c>
      <c r="C113" s="11"/>
      <c r="D113" s="7">
        <v>40.200000000000003</v>
      </c>
      <c r="E113" s="2"/>
      <c r="F113" s="6">
        <f t="shared" si="37"/>
        <v>1.098079475386795E-4</v>
      </c>
      <c r="G113" s="2"/>
      <c r="H113" s="7"/>
      <c r="I113" s="2"/>
      <c r="J113" s="6">
        <f t="shared" si="38"/>
        <v>0</v>
      </c>
      <c r="K113" s="2"/>
      <c r="L113" s="7">
        <f t="shared" si="39"/>
        <v>40.200000000000003</v>
      </c>
      <c r="M113" s="2"/>
      <c r="N113" s="6">
        <f t="shared" si="40"/>
        <v>0</v>
      </c>
      <c r="O113" s="11"/>
      <c r="P113" s="7">
        <v>113.44</v>
      </c>
      <c r="Q113" s="2"/>
      <c r="R113" s="6">
        <f t="shared" si="41"/>
        <v>6.9353051152454354E-5</v>
      </c>
      <c r="S113" s="2"/>
      <c r="T113" s="7"/>
      <c r="U113" s="2"/>
      <c r="V113" s="6">
        <f t="shared" si="42"/>
        <v>0</v>
      </c>
      <c r="W113" s="2"/>
      <c r="X113" s="7">
        <f t="shared" si="43"/>
        <v>113.44</v>
      </c>
      <c r="Y113" s="2"/>
      <c r="Z113" s="6">
        <f t="shared" si="44"/>
        <v>0</v>
      </c>
    </row>
    <row r="114" spans="1:26" s="24" customFormat="1" hidden="1" outlineLevel="2" x14ac:dyDescent="0.25">
      <c r="A114" s="26"/>
      <c r="B114" s="11" t="str">
        <f>CONCATENATE("          ", "6307", " - ", "POSTAGE")</f>
        <v xml:space="preserve">          6307 - POSTAGE</v>
      </c>
      <c r="C114" s="11"/>
      <c r="D114" s="7"/>
      <c r="E114" s="2"/>
      <c r="F114" s="6">
        <f t="shared" si="37"/>
        <v>0</v>
      </c>
      <c r="G114" s="2"/>
      <c r="H114" s="7">
        <v>10</v>
      </c>
      <c r="I114" s="2"/>
      <c r="J114" s="6">
        <f t="shared" si="38"/>
        <v>2.9469403391928329E-5</v>
      </c>
      <c r="K114" s="2"/>
      <c r="L114" s="7">
        <f t="shared" si="39"/>
        <v>-10</v>
      </c>
      <c r="M114" s="2"/>
      <c r="N114" s="6">
        <f t="shared" si="40"/>
        <v>-1</v>
      </c>
      <c r="O114" s="11"/>
      <c r="P114" s="7">
        <v>-289.33999999999997</v>
      </c>
      <c r="Q114" s="2"/>
      <c r="R114" s="6">
        <f t="shared" si="41"/>
        <v>-1.7689185314219977E-4</v>
      </c>
      <c r="S114" s="2"/>
      <c r="T114" s="7">
        <v>100</v>
      </c>
      <c r="U114" s="2"/>
      <c r="V114" s="6">
        <f t="shared" si="42"/>
        <v>3.5356903187849107E-5</v>
      </c>
      <c r="W114" s="2"/>
      <c r="X114" s="7">
        <f t="shared" si="43"/>
        <v>-389.34</v>
      </c>
      <c r="Y114" s="2"/>
      <c r="Z114" s="6">
        <f t="shared" si="44"/>
        <v>-3.8933999999999997</v>
      </c>
    </row>
    <row r="115" spans="1:26" s="25" customFormat="1" outlineLevel="1" collapsed="1" x14ac:dyDescent="0.25">
      <c r="A115" s="27"/>
      <c r="B115" s="13" t="str">
        <f>CONCATENATE("     ","General                                           ")</f>
        <v xml:space="preserve">     General                                           </v>
      </c>
      <c r="C115" s="13"/>
      <c r="D115" s="1">
        <f>SUM(OSRRefD22_8x_0)</f>
        <v>0</v>
      </c>
      <c r="E115" s="1"/>
      <c r="F115" s="5">
        <f t="shared" ref="F115:F119" si="45">IF(D$12=0,0,D115/D$12)</f>
        <v>0</v>
      </c>
      <c r="G115" s="1"/>
      <c r="H115" s="1">
        <f>SUM(OSRRefH22_8x_0)</f>
        <v>0</v>
      </c>
      <c r="I115" s="1"/>
      <c r="J115" s="5">
        <f t="shared" ref="J115:J119" si="46">IF(H$12=0,0,H115/H$12)</f>
        <v>0</v>
      </c>
      <c r="K115" s="1"/>
      <c r="L115" s="1">
        <f t="shared" ref="L115:L119" si="47">+D115-H115</f>
        <v>0</v>
      </c>
      <c r="M115" s="1"/>
      <c r="N115" s="5">
        <f t="shared" ref="N115:N119" si="48">IF(H115=0,0,L115/H115)</f>
        <v>0</v>
      </c>
      <c r="O115" s="13"/>
      <c r="P115" s="1">
        <f>SUM(OSRRefP22_8x_0)</f>
        <v>0</v>
      </c>
      <c r="Q115" s="1"/>
      <c r="R115" s="5">
        <f t="shared" ref="R115:R119" si="49">IF(P$12=0,0,P115/P$12)</f>
        <v>0</v>
      </c>
      <c r="S115" s="1"/>
      <c r="T115" s="1">
        <f>SUM(OSRRefT22_8x_0)</f>
        <v>500</v>
      </c>
      <c r="U115" s="1"/>
      <c r="V115" s="5">
        <f t="shared" ref="V115:V119" si="50">IF(T$12=0,0,T115/T$12)</f>
        <v>1.7678451593924552E-4</v>
      </c>
      <c r="W115" s="1"/>
      <c r="X115" s="1">
        <f t="shared" ref="X115:X119" si="51">+P115-T115</f>
        <v>-500</v>
      </c>
      <c r="Y115" s="1"/>
      <c r="Z115" s="5">
        <f t="shared" ref="Z115:Z119" si="52">IF(T115=0,0,X115/T115)</f>
        <v>-1</v>
      </c>
    </row>
    <row r="116" spans="1:26" s="24" customFormat="1" hidden="1" outlineLevel="2" x14ac:dyDescent="0.25">
      <c r="A116" s="26"/>
      <c r="B116" s="11" t="str">
        <f>CONCATENATE("          ", "6279", " - ", "GENERAL EXPENSE")</f>
        <v xml:space="preserve">          6279 - GENERAL EXPENSE</v>
      </c>
      <c r="C116" s="11"/>
      <c r="D116" s="7"/>
      <c r="E116" s="2"/>
      <c r="F116" s="6">
        <f t="shared" si="45"/>
        <v>0</v>
      </c>
      <c r="G116" s="2"/>
      <c r="H116" s="7">
        <v>0</v>
      </c>
      <c r="I116" s="2"/>
      <c r="J116" s="6">
        <f t="shared" si="46"/>
        <v>0</v>
      </c>
      <c r="K116" s="2"/>
      <c r="L116" s="7">
        <f t="shared" si="47"/>
        <v>0</v>
      </c>
      <c r="M116" s="2"/>
      <c r="N116" s="6">
        <f t="shared" si="48"/>
        <v>0</v>
      </c>
      <c r="O116" s="11"/>
      <c r="P116" s="7"/>
      <c r="Q116" s="2"/>
      <c r="R116" s="6">
        <f t="shared" si="49"/>
        <v>0</v>
      </c>
      <c r="S116" s="2"/>
      <c r="T116" s="7">
        <v>500</v>
      </c>
      <c r="U116" s="2"/>
      <c r="V116" s="6">
        <f t="shared" si="50"/>
        <v>1.7678451593924552E-4</v>
      </c>
      <c r="W116" s="2"/>
      <c r="X116" s="7">
        <f t="shared" si="51"/>
        <v>-500</v>
      </c>
      <c r="Y116" s="2"/>
      <c r="Z116" s="6">
        <f t="shared" si="52"/>
        <v>-1</v>
      </c>
    </row>
    <row r="117" spans="1:26" s="25" customFormat="1" outlineLevel="1" collapsed="1" x14ac:dyDescent="0.25">
      <c r="A117" s="27"/>
      <c r="B117" s="13" t="str">
        <f>CONCATENATE("     ","Inventory Adjustment                              ")</f>
        <v xml:space="preserve">     Inventory Adjustment                              </v>
      </c>
      <c r="C117" s="13"/>
      <c r="D117" s="1">
        <f>SUM(OSRRefD22_9x_0)</f>
        <v>1000</v>
      </c>
      <c r="E117" s="1"/>
      <c r="F117" s="5">
        <f t="shared" si="45"/>
        <v>2.7315409835492414E-3</v>
      </c>
      <c r="G117" s="1"/>
      <c r="H117" s="1">
        <f>SUM(OSRRefH22_9x_0)</f>
        <v>1000</v>
      </c>
      <c r="I117" s="1"/>
      <c r="J117" s="5">
        <f t="shared" si="46"/>
        <v>2.946940339192833E-3</v>
      </c>
      <c r="K117" s="1"/>
      <c r="L117" s="1">
        <f t="shared" si="47"/>
        <v>0</v>
      </c>
      <c r="M117" s="1"/>
      <c r="N117" s="5">
        <f t="shared" si="48"/>
        <v>0</v>
      </c>
      <c r="O117" s="13"/>
      <c r="P117" s="1">
        <f>SUM(OSRRefP22_9x_0)</f>
        <v>10000</v>
      </c>
      <c r="Q117" s="1"/>
      <c r="R117" s="5">
        <f t="shared" si="49"/>
        <v>6.1136328589963288E-3</v>
      </c>
      <c r="S117" s="1"/>
      <c r="T117" s="1">
        <f>SUM(OSRRefT22_9x_0)</f>
        <v>10000</v>
      </c>
      <c r="U117" s="1"/>
      <c r="V117" s="5">
        <f t="shared" si="50"/>
        <v>3.5356903187849105E-3</v>
      </c>
      <c r="W117" s="1"/>
      <c r="X117" s="1">
        <f t="shared" si="51"/>
        <v>0</v>
      </c>
      <c r="Y117" s="1"/>
      <c r="Z117" s="5">
        <f t="shared" si="52"/>
        <v>0</v>
      </c>
    </row>
    <row r="118" spans="1:26" s="24" customFormat="1" hidden="1" outlineLevel="2" x14ac:dyDescent="0.25">
      <c r="A118" s="26"/>
      <c r="B118" s="11" t="str">
        <f>CONCATENATE("          ", "6408", " - ", "INVENTORY ADJUSTMENT")</f>
        <v xml:space="preserve">          6408 - INVENTORY ADJUSTMENT</v>
      </c>
      <c r="C118" s="11"/>
      <c r="D118" s="7">
        <v>1000</v>
      </c>
      <c r="E118" s="2"/>
      <c r="F118" s="6">
        <f t="shared" si="45"/>
        <v>2.7315409835492414E-3</v>
      </c>
      <c r="G118" s="2"/>
      <c r="H118" s="7">
        <v>1000</v>
      </c>
      <c r="I118" s="2"/>
      <c r="J118" s="6">
        <f t="shared" si="46"/>
        <v>2.946940339192833E-3</v>
      </c>
      <c r="K118" s="2"/>
      <c r="L118" s="7">
        <f t="shared" si="47"/>
        <v>0</v>
      </c>
      <c r="M118" s="2"/>
      <c r="N118" s="6">
        <f t="shared" si="48"/>
        <v>0</v>
      </c>
      <c r="O118" s="11"/>
      <c r="P118" s="7">
        <v>10000</v>
      </c>
      <c r="Q118" s="2"/>
      <c r="R118" s="6">
        <f t="shared" si="49"/>
        <v>6.1136328589963288E-3</v>
      </c>
      <c r="S118" s="2"/>
      <c r="T118" s="7">
        <v>10000</v>
      </c>
      <c r="U118" s="2"/>
      <c r="V118" s="6">
        <f t="shared" si="50"/>
        <v>3.5356903187849105E-3</v>
      </c>
      <c r="W118" s="2"/>
      <c r="X118" s="7">
        <f t="shared" si="51"/>
        <v>0</v>
      </c>
      <c r="Y118" s="2"/>
      <c r="Z118" s="6">
        <f t="shared" si="52"/>
        <v>0</v>
      </c>
    </row>
    <row r="119" spans="1:26" s="24" customFormat="1" hidden="1" outlineLevel="2" x14ac:dyDescent="0.25">
      <c r="A119" s="26"/>
      <c r="B119" s="11" t="str">
        <f>CONCATENATE("          ", "7741", " - ", "INV. SHRINKAGE-LOGO GIFTS")</f>
        <v xml:space="preserve">          7741 - INV. SHRINKAGE-LOGO GIFTS</v>
      </c>
      <c r="C119" s="11"/>
      <c r="D119" s="7"/>
      <c r="E119" s="2"/>
      <c r="F119" s="6">
        <f t="shared" si="45"/>
        <v>0</v>
      </c>
      <c r="G119" s="2"/>
      <c r="H119" s="7"/>
      <c r="I119" s="2"/>
      <c r="J119" s="6">
        <f t="shared" si="46"/>
        <v>0</v>
      </c>
      <c r="K119" s="2"/>
      <c r="L119" s="7">
        <f t="shared" si="47"/>
        <v>0</v>
      </c>
      <c r="M119" s="2"/>
      <c r="N119" s="6">
        <f t="shared" si="48"/>
        <v>0</v>
      </c>
      <c r="O119" s="11"/>
      <c r="P119" s="7">
        <v>0</v>
      </c>
      <c r="Q119" s="2"/>
      <c r="R119" s="6">
        <f t="shared" si="49"/>
        <v>0</v>
      </c>
      <c r="S119" s="2"/>
      <c r="T119" s="7"/>
      <c r="U119" s="2"/>
      <c r="V119" s="6">
        <f t="shared" si="50"/>
        <v>0</v>
      </c>
      <c r="W119" s="2"/>
      <c r="X119" s="7">
        <f t="shared" si="51"/>
        <v>0</v>
      </c>
      <c r="Y119" s="2"/>
      <c r="Z119" s="6">
        <f t="shared" si="52"/>
        <v>0</v>
      </c>
    </row>
    <row r="120" spans="1:26" s="25" customFormat="1" outlineLevel="1" collapsed="1" x14ac:dyDescent="0.25">
      <c r="A120" s="27"/>
      <c r="B120" s="13" t="str">
        <f>CONCATENATE("     ","Professional Services                             ")</f>
        <v xml:space="preserve">     Professional Services                             </v>
      </c>
      <c r="C120" s="13"/>
      <c r="D120" s="1">
        <f>SUM(OSRRefD22_10x_0)</f>
        <v>0</v>
      </c>
      <c r="E120" s="1"/>
      <c r="F120" s="5">
        <f t="shared" ref="F120:F127" si="53">IF(D$12=0,0,D120/D$12)</f>
        <v>0</v>
      </c>
      <c r="G120" s="1"/>
      <c r="H120" s="1">
        <f>SUM(OSRRefH22_10x_0)</f>
        <v>250</v>
      </c>
      <c r="I120" s="1"/>
      <c r="J120" s="5">
        <f t="shared" ref="J120:J127" si="54">IF(H$12=0,0,H120/H$12)</f>
        <v>7.3673508479820825E-4</v>
      </c>
      <c r="K120" s="1"/>
      <c r="L120" s="1">
        <f t="shared" ref="L120:L127" si="55">+D120-H120</f>
        <v>-250</v>
      </c>
      <c r="M120" s="1"/>
      <c r="N120" s="5">
        <f t="shared" ref="N120:N127" si="56">IF(H120=0,0,L120/H120)</f>
        <v>-1</v>
      </c>
      <c r="O120" s="13"/>
      <c r="P120" s="1">
        <f>SUM(OSRRefP22_10x_0)</f>
        <v>0</v>
      </c>
      <c r="Q120" s="1"/>
      <c r="R120" s="5">
        <f t="shared" ref="R120:R127" si="57">IF(P$12=0,0,P120/P$12)</f>
        <v>0</v>
      </c>
      <c r="S120" s="1"/>
      <c r="T120" s="1">
        <f>SUM(OSRRefT22_10x_0)</f>
        <v>5750</v>
      </c>
      <c r="U120" s="1"/>
      <c r="V120" s="5">
        <f t="shared" ref="V120:V127" si="58">IF(T$12=0,0,T120/T$12)</f>
        <v>2.0330219333013237E-3</v>
      </c>
      <c r="W120" s="1"/>
      <c r="X120" s="1">
        <f t="shared" ref="X120:X127" si="59">+P120-T120</f>
        <v>-5750</v>
      </c>
      <c r="Y120" s="1"/>
      <c r="Z120" s="5">
        <f t="shared" ref="Z120:Z127" si="60">IF(T120=0,0,X120/T120)</f>
        <v>-1</v>
      </c>
    </row>
    <row r="121" spans="1:26" s="24" customFormat="1" hidden="1" outlineLevel="2" x14ac:dyDescent="0.25">
      <c r="A121" s="26"/>
      <c r="B121" s="11" t="str">
        <f>CONCATENATE("          ", "6336", " - ", "PROFESSIONAL SERVICES")</f>
        <v xml:space="preserve">          6336 - PROFESSIONAL SERVICES</v>
      </c>
      <c r="C121" s="11"/>
      <c r="D121" s="7"/>
      <c r="E121" s="2"/>
      <c r="F121" s="6">
        <f t="shared" si="53"/>
        <v>0</v>
      </c>
      <c r="G121" s="2"/>
      <c r="H121" s="7">
        <v>250</v>
      </c>
      <c r="I121" s="2"/>
      <c r="J121" s="6">
        <f t="shared" si="54"/>
        <v>7.3673508479820825E-4</v>
      </c>
      <c r="K121" s="2"/>
      <c r="L121" s="7">
        <f t="shared" si="55"/>
        <v>-250</v>
      </c>
      <c r="M121" s="2"/>
      <c r="N121" s="6">
        <f t="shared" si="56"/>
        <v>-1</v>
      </c>
      <c r="O121" s="11"/>
      <c r="P121" s="7"/>
      <c r="Q121" s="2"/>
      <c r="R121" s="6">
        <f t="shared" si="57"/>
        <v>0</v>
      </c>
      <c r="S121" s="2"/>
      <c r="T121" s="7">
        <v>5750</v>
      </c>
      <c r="U121" s="2"/>
      <c r="V121" s="6">
        <f t="shared" si="58"/>
        <v>2.0330219333013237E-3</v>
      </c>
      <c r="W121" s="2"/>
      <c r="X121" s="7">
        <f t="shared" si="59"/>
        <v>-5750</v>
      </c>
      <c r="Y121" s="2"/>
      <c r="Z121" s="6">
        <f t="shared" si="60"/>
        <v>-1</v>
      </c>
    </row>
    <row r="122" spans="1:26" s="25" customFormat="1" outlineLevel="1" collapsed="1" x14ac:dyDescent="0.25">
      <c r="A122" s="27"/>
      <c r="B122" s="13" t="str">
        <f>CONCATENATE("     ","Repair and Maintenance                            ")</f>
        <v xml:space="preserve">     Repair and Maintenance                            </v>
      </c>
      <c r="C122" s="13"/>
      <c r="D122" s="1">
        <f>SUM(OSRRefD22_11x_0)</f>
        <v>0</v>
      </c>
      <c r="E122" s="1"/>
      <c r="F122" s="5">
        <f t="shared" si="53"/>
        <v>0</v>
      </c>
      <c r="G122" s="1"/>
      <c r="H122" s="1">
        <f>SUM(OSRRefH22_11x_0)</f>
        <v>100</v>
      </c>
      <c r="I122" s="1"/>
      <c r="J122" s="5">
        <f t="shared" si="54"/>
        <v>2.9469403391928331E-4</v>
      </c>
      <c r="K122" s="1"/>
      <c r="L122" s="1">
        <f t="shared" si="55"/>
        <v>-100</v>
      </c>
      <c r="M122" s="1"/>
      <c r="N122" s="5">
        <f t="shared" si="56"/>
        <v>-1</v>
      </c>
      <c r="O122" s="13"/>
      <c r="P122" s="1">
        <f>SUM(OSRRefP22_11x_0)</f>
        <v>0</v>
      </c>
      <c r="Q122" s="1"/>
      <c r="R122" s="5">
        <f t="shared" si="57"/>
        <v>0</v>
      </c>
      <c r="S122" s="1"/>
      <c r="T122" s="1">
        <f>SUM(OSRRefT22_11x_0)</f>
        <v>1350</v>
      </c>
      <c r="U122" s="1"/>
      <c r="V122" s="5">
        <f t="shared" si="58"/>
        <v>4.7731819303596293E-4</v>
      </c>
      <c r="W122" s="1"/>
      <c r="X122" s="1">
        <f t="shared" si="59"/>
        <v>-1350</v>
      </c>
      <c r="Y122" s="1"/>
      <c r="Z122" s="5">
        <f t="shared" si="60"/>
        <v>-1</v>
      </c>
    </row>
    <row r="123" spans="1:26" s="24" customFormat="1" hidden="1" outlineLevel="2" x14ac:dyDescent="0.25">
      <c r="A123" s="26"/>
      <c r="B123" s="11" t="str">
        <f>CONCATENATE("          ", "6375", " - ", "OUTSIDE REPAIRS &amp; MAINTENANCE")</f>
        <v xml:space="preserve">          6375 - OUTSIDE REPAIRS &amp; MAINTENANCE</v>
      </c>
      <c r="C123" s="11"/>
      <c r="D123" s="7"/>
      <c r="E123" s="2"/>
      <c r="F123" s="6">
        <f t="shared" si="53"/>
        <v>0</v>
      </c>
      <c r="G123" s="2"/>
      <c r="H123" s="7">
        <v>100</v>
      </c>
      <c r="I123" s="2"/>
      <c r="J123" s="6">
        <f t="shared" si="54"/>
        <v>2.9469403391928331E-4</v>
      </c>
      <c r="K123" s="2"/>
      <c r="L123" s="7">
        <f t="shared" si="55"/>
        <v>-100</v>
      </c>
      <c r="M123" s="2"/>
      <c r="N123" s="6">
        <f t="shared" si="56"/>
        <v>-1</v>
      </c>
      <c r="O123" s="11"/>
      <c r="P123" s="7"/>
      <c r="Q123" s="2"/>
      <c r="R123" s="6">
        <f t="shared" si="57"/>
        <v>0</v>
      </c>
      <c r="S123" s="2"/>
      <c r="T123" s="7">
        <v>1350</v>
      </c>
      <c r="U123" s="2"/>
      <c r="V123" s="6">
        <f t="shared" si="58"/>
        <v>4.7731819303596293E-4</v>
      </c>
      <c r="W123" s="2"/>
      <c r="X123" s="7">
        <f t="shared" si="59"/>
        <v>-1350</v>
      </c>
      <c r="Y123" s="2"/>
      <c r="Z123" s="6">
        <f t="shared" si="60"/>
        <v>-1</v>
      </c>
    </row>
    <row r="124" spans="1:26" s="25" customFormat="1" outlineLevel="1" collapsed="1" x14ac:dyDescent="0.25">
      <c r="A124" s="27"/>
      <c r="B124" s="13" t="str">
        <f>CONCATENATE("     ","Royalty &amp; Commissions                             ")</f>
        <v xml:space="preserve">     Royalty &amp; Commissions                             </v>
      </c>
      <c r="C124" s="13"/>
      <c r="D124" s="1">
        <f>SUM(OSRRefD22_12x_0)</f>
        <v>8961.48</v>
      </c>
      <c r="E124" s="1"/>
      <c r="F124" s="5">
        <f t="shared" si="53"/>
        <v>2.4478649893256856E-2</v>
      </c>
      <c r="G124" s="1"/>
      <c r="H124" s="1">
        <f>SUM(OSRRefH22_12x_0)</f>
        <v>6271</v>
      </c>
      <c r="I124" s="1"/>
      <c r="J124" s="5">
        <f t="shared" si="54"/>
        <v>1.8480262867078257E-2</v>
      </c>
      <c r="K124" s="1"/>
      <c r="L124" s="1">
        <f t="shared" si="55"/>
        <v>2690.4799999999996</v>
      </c>
      <c r="M124" s="1"/>
      <c r="N124" s="5">
        <f t="shared" si="56"/>
        <v>0.42903524158826334</v>
      </c>
      <c r="O124" s="13"/>
      <c r="P124" s="1">
        <f>SUM(OSRRefP22_12x_0)</f>
        <v>35159.06</v>
      </c>
      <c r="Q124" s="1"/>
      <c r="R124" s="5">
        <f t="shared" si="57"/>
        <v>2.1494958450742348E-2</v>
      </c>
      <c r="S124" s="1"/>
      <c r="T124" s="1">
        <f>SUM(OSRRefT22_12x_0)</f>
        <v>62710</v>
      </c>
      <c r="U124" s="1"/>
      <c r="V124" s="5">
        <f t="shared" si="58"/>
        <v>2.2172313989100172E-2</v>
      </c>
      <c r="W124" s="1"/>
      <c r="X124" s="1">
        <f t="shared" si="59"/>
        <v>-27550.940000000002</v>
      </c>
      <c r="Y124" s="1"/>
      <c r="Z124" s="5">
        <f t="shared" si="60"/>
        <v>-0.43933886142560996</v>
      </c>
    </row>
    <row r="125" spans="1:26" s="24" customFormat="1" hidden="1" outlineLevel="2" x14ac:dyDescent="0.25">
      <c r="A125" s="26"/>
      <c r="B125" s="11" t="str">
        <f>CONCATENATE("          ", "6252", " - ", "ROYALTY DUE CSTV")</f>
        <v xml:space="preserve">          6252 - ROYALTY DUE CSTV</v>
      </c>
      <c r="C125" s="11"/>
      <c r="D125" s="7"/>
      <c r="E125" s="2"/>
      <c r="F125" s="6">
        <f t="shared" si="53"/>
        <v>0</v>
      </c>
      <c r="G125" s="2"/>
      <c r="H125" s="7">
        <v>1085</v>
      </c>
      <c r="I125" s="2"/>
      <c r="J125" s="6">
        <f t="shared" si="54"/>
        <v>3.1974302680242237E-3</v>
      </c>
      <c r="K125" s="2"/>
      <c r="L125" s="7">
        <f t="shared" si="55"/>
        <v>-1085</v>
      </c>
      <c r="M125" s="2"/>
      <c r="N125" s="6">
        <f t="shared" si="56"/>
        <v>-1</v>
      </c>
      <c r="O125" s="11"/>
      <c r="P125" s="7"/>
      <c r="Q125" s="2"/>
      <c r="R125" s="6">
        <f t="shared" si="57"/>
        <v>0</v>
      </c>
      <c r="S125" s="2"/>
      <c r="T125" s="7">
        <v>10850</v>
      </c>
      <c r="U125" s="2"/>
      <c r="V125" s="6">
        <f t="shared" si="58"/>
        <v>3.8362239958816277E-3</v>
      </c>
      <c r="W125" s="2"/>
      <c r="X125" s="7">
        <f t="shared" si="59"/>
        <v>-10850</v>
      </c>
      <c r="Y125" s="2"/>
      <c r="Z125" s="6">
        <f t="shared" si="60"/>
        <v>-1</v>
      </c>
    </row>
    <row r="126" spans="1:26" s="24" customFormat="1" hidden="1" outlineLevel="2" x14ac:dyDescent="0.25">
      <c r="A126" s="26"/>
      <c r="B126" s="11" t="str">
        <f>CONCATENATE("          ", "6253", " - ", "ROYALTY DUE ATHLETICS-LRG")</f>
        <v xml:space="preserve">          6253 - ROYALTY DUE ATHLETICS-LRG</v>
      </c>
      <c r="C126" s="11"/>
      <c r="D126" s="7">
        <v>8961.48</v>
      </c>
      <c r="E126" s="2"/>
      <c r="F126" s="6">
        <f t="shared" si="53"/>
        <v>2.4478649893256856E-2</v>
      </c>
      <c r="G126" s="2"/>
      <c r="H126" s="7">
        <v>4037</v>
      </c>
      <c r="I126" s="2"/>
      <c r="J126" s="6">
        <f t="shared" si="54"/>
        <v>1.1896798149321467E-2</v>
      </c>
      <c r="K126" s="2"/>
      <c r="L126" s="7">
        <f t="shared" si="55"/>
        <v>4924.4799999999996</v>
      </c>
      <c r="M126" s="2"/>
      <c r="N126" s="6">
        <f t="shared" si="56"/>
        <v>1.2198365122615802</v>
      </c>
      <c r="O126" s="11"/>
      <c r="P126" s="7">
        <v>35159.06</v>
      </c>
      <c r="Q126" s="2"/>
      <c r="R126" s="6">
        <f t="shared" si="57"/>
        <v>2.1494958450742348E-2</v>
      </c>
      <c r="S126" s="2"/>
      <c r="T126" s="7">
        <v>40370</v>
      </c>
      <c r="U126" s="2"/>
      <c r="V126" s="6">
        <f t="shared" si="58"/>
        <v>1.4273581816934684E-2</v>
      </c>
      <c r="W126" s="2"/>
      <c r="X126" s="7">
        <f t="shared" si="59"/>
        <v>-5210.9400000000023</v>
      </c>
      <c r="Y126" s="2"/>
      <c r="Z126" s="6">
        <f t="shared" si="60"/>
        <v>-0.1290795144909587</v>
      </c>
    </row>
    <row r="127" spans="1:26" s="24" customFormat="1" hidden="1" outlineLevel="2" x14ac:dyDescent="0.25">
      <c r="A127" s="26"/>
      <c r="B127" s="11" t="str">
        <f>CONCATENATE("          ", "6254", " - ", "ROYALTY &amp; COMMISSIONS")</f>
        <v xml:space="preserve">          6254 - ROYALTY &amp; COMMISSIONS</v>
      </c>
      <c r="C127" s="11"/>
      <c r="D127" s="7"/>
      <c r="E127" s="2"/>
      <c r="F127" s="6">
        <f t="shared" si="53"/>
        <v>0</v>
      </c>
      <c r="G127" s="2"/>
      <c r="H127" s="7">
        <v>1149</v>
      </c>
      <c r="I127" s="2"/>
      <c r="J127" s="6">
        <f t="shared" si="54"/>
        <v>3.386034449732565E-3</v>
      </c>
      <c r="K127" s="2"/>
      <c r="L127" s="7">
        <f t="shared" si="55"/>
        <v>-1149</v>
      </c>
      <c r="M127" s="2"/>
      <c r="N127" s="6">
        <f t="shared" si="56"/>
        <v>-1</v>
      </c>
      <c r="O127" s="11"/>
      <c r="P127" s="7"/>
      <c r="Q127" s="2"/>
      <c r="R127" s="6">
        <f t="shared" si="57"/>
        <v>0</v>
      </c>
      <c r="S127" s="2"/>
      <c r="T127" s="7">
        <v>11490</v>
      </c>
      <c r="U127" s="2"/>
      <c r="V127" s="6">
        <f t="shared" si="58"/>
        <v>4.0625081762838619E-3</v>
      </c>
      <c r="W127" s="2"/>
      <c r="X127" s="7">
        <f t="shared" si="59"/>
        <v>-11490</v>
      </c>
      <c r="Y127" s="2"/>
      <c r="Z127" s="6">
        <f t="shared" si="60"/>
        <v>-1</v>
      </c>
    </row>
    <row r="128" spans="1:26" s="25" customFormat="1" outlineLevel="1" collapsed="1" x14ac:dyDescent="0.25">
      <c r="A128" s="27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SUM(OSRRefD22_13x_0)</f>
        <v>0</v>
      </c>
      <c r="E128" s="1"/>
      <c r="F128" s="5">
        <f t="shared" ref="F128:F130" si="61">IF(D$12=0,0,D128/D$12)</f>
        <v>0</v>
      </c>
      <c r="G128" s="1"/>
      <c r="H128" s="1">
        <f>SUM(OSRRefH22_13x_0)</f>
        <v>0</v>
      </c>
      <c r="I128" s="1"/>
      <c r="J128" s="5">
        <f t="shared" ref="J128:J130" si="62">IF(H$12=0,0,H128/H$12)</f>
        <v>0</v>
      </c>
      <c r="K128" s="1"/>
      <c r="L128" s="1">
        <f t="shared" ref="L128:L130" si="63">+D128-H128</f>
        <v>0</v>
      </c>
      <c r="M128" s="1"/>
      <c r="N128" s="5">
        <f t="shared" ref="N128:N130" si="64">IF(H128=0,0,L128/H128)</f>
        <v>0</v>
      </c>
      <c r="O128" s="13"/>
      <c r="P128" s="1">
        <f>SUM(OSRRefP22_13x_0)</f>
        <v>-231.57</v>
      </c>
      <c r="Q128" s="1"/>
      <c r="R128" s="5">
        <f t="shared" ref="R128:R130" si="65">IF(P$12=0,0,P128/P$12)</f>
        <v>-1.4157339611577799E-4</v>
      </c>
      <c r="S128" s="1"/>
      <c r="T128" s="1">
        <f>SUM(OSRRefT22_13x_0)</f>
        <v>1000</v>
      </c>
      <c r="U128" s="1"/>
      <c r="V128" s="5">
        <f t="shared" ref="V128:V130" si="66">IF(T$12=0,0,T128/T$12)</f>
        <v>3.5356903187849103E-4</v>
      </c>
      <c r="W128" s="1"/>
      <c r="X128" s="1">
        <f t="shared" ref="X128:X130" si="67">+P128-T128</f>
        <v>-1231.57</v>
      </c>
      <c r="Y128" s="1"/>
      <c r="Z128" s="5">
        <f t="shared" ref="Z128:Z130" si="68">IF(T128=0,0,X128/T128)</f>
        <v>-1.2315699999999998</v>
      </c>
    </row>
    <row r="129" spans="1:26" s="24" customFormat="1" hidden="1" outlineLevel="2" x14ac:dyDescent="0.25">
      <c r="A129" s="26"/>
      <c r="B129" s="11" t="str">
        <f>CONCATENATE("          ", "6258", " - ", "MEMBERSHIP DUES")</f>
        <v xml:space="preserve">          6258 - MEMBERSHIP DUES</v>
      </c>
      <c r="C129" s="11"/>
      <c r="D129" s="7"/>
      <c r="E129" s="2"/>
      <c r="F129" s="6">
        <f t="shared" si="61"/>
        <v>0</v>
      </c>
      <c r="G129" s="2"/>
      <c r="H129" s="7">
        <v>0</v>
      </c>
      <c r="I129" s="2"/>
      <c r="J129" s="6">
        <f t="shared" si="62"/>
        <v>0</v>
      </c>
      <c r="K129" s="2"/>
      <c r="L129" s="7">
        <f t="shared" si="63"/>
        <v>0</v>
      </c>
      <c r="M129" s="2"/>
      <c r="N129" s="6">
        <f t="shared" si="64"/>
        <v>0</v>
      </c>
      <c r="O129" s="11"/>
      <c r="P129" s="7">
        <v>-307.3</v>
      </c>
      <c r="Q129" s="2"/>
      <c r="R129" s="6">
        <f t="shared" si="65"/>
        <v>-1.878719377569572E-4</v>
      </c>
      <c r="S129" s="2"/>
      <c r="T129" s="7">
        <v>1000</v>
      </c>
      <c r="U129" s="2"/>
      <c r="V129" s="6">
        <f t="shared" si="66"/>
        <v>3.5356903187849103E-4</v>
      </c>
      <c r="W129" s="2"/>
      <c r="X129" s="7">
        <f t="shared" si="67"/>
        <v>-1307.3</v>
      </c>
      <c r="Y129" s="2"/>
      <c r="Z129" s="6">
        <f t="shared" si="68"/>
        <v>-1.3072999999999999</v>
      </c>
    </row>
    <row r="130" spans="1:26" s="24" customFormat="1" hidden="1" outlineLevel="2" x14ac:dyDescent="0.25">
      <c r="A130" s="26"/>
      <c r="B130" s="11" t="str">
        <f>CONCATENATE("          ", "6275", " - ", "SUBSCRIPTIONS")</f>
        <v xml:space="preserve">          6275 - SUBSCRIPTIONS</v>
      </c>
      <c r="C130" s="11"/>
      <c r="D130" s="7"/>
      <c r="E130" s="2"/>
      <c r="F130" s="6">
        <f t="shared" si="61"/>
        <v>0</v>
      </c>
      <c r="G130" s="2"/>
      <c r="H130" s="7"/>
      <c r="I130" s="2"/>
      <c r="J130" s="6">
        <f t="shared" si="62"/>
        <v>0</v>
      </c>
      <c r="K130" s="2"/>
      <c r="L130" s="7">
        <f t="shared" si="63"/>
        <v>0</v>
      </c>
      <c r="M130" s="2"/>
      <c r="N130" s="6">
        <f t="shared" si="64"/>
        <v>0</v>
      </c>
      <c r="O130" s="11"/>
      <c r="P130" s="7">
        <v>75.73</v>
      </c>
      <c r="Q130" s="2"/>
      <c r="R130" s="6">
        <f t="shared" si="65"/>
        <v>4.6298541641179204E-5</v>
      </c>
      <c r="S130" s="2"/>
      <c r="T130" s="7">
        <v>0</v>
      </c>
      <c r="U130" s="2"/>
      <c r="V130" s="6">
        <f t="shared" si="66"/>
        <v>0</v>
      </c>
      <c r="W130" s="2"/>
      <c r="X130" s="7">
        <f t="shared" si="67"/>
        <v>75.73</v>
      </c>
      <c r="Y130" s="2"/>
      <c r="Z130" s="6">
        <f t="shared" si="68"/>
        <v>0</v>
      </c>
    </row>
    <row r="131" spans="1:26" s="25" customFormat="1" outlineLevel="1" collapsed="1" x14ac:dyDescent="0.25">
      <c r="A131" s="27"/>
      <c r="B131" s="13" t="str">
        <f>CONCATENATE("     ","Supplies                                          ")</f>
        <v xml:space="preserve">     Supplies                                          </v>
      </c>
      <c r="C131" s="13"/>
      <c r="D131" s="1">
        <f>SUM(OSRRefD22_14x_0)</f>
        <v>129.86000000000001</v>
      </c>
      <c r="E131" s="1"/>
      <c r="F131" s="5">
        <f t="shared" ref="F131:F138" si="69">IF(D$12=0,0,D131/D$12)</f>
        <v>3.5471791212370453E-4</v>
      </c>
      <c r="G131" s="1"/>
      <c r="H131" s="1">
        <f>SUM(OSRRefH22_14x_0)</f>
        <v>450</v>
      </c>
      <c r="I131" s="1"/>
      <c r="J131" s="5">
        <f t="shared" ref="J131:J138" si="70">IF(H$12=0,0,H131/H$12)</f>
        <v>1.3261231526367748E-3</v>
      </c>
      <c r="K131" s="1"/>
      <c r="L131" s="1">
        <f t="shared" ref="L131:L138" si="71">+D131-H131</f>
        <v>-320.14</v>
      </c>
      <c r="M131" s="1"/>
      <c r="N131" s="5">
        <f t="shared" ref="N131:N138" si="72">IF(H131=0,0,L131/H131)</f>
        <v>-0.71142222222222218</v>
      </c>
      <c r="O131" s="13"/>
      <c r="P131" s="1">
        <f>SUM(OSRRefP22_14x_0)</f>
        <v>3759.8300000000004</v>
      </c>
      <c r="Q131" s="1"/>
      <c r="R131" s="5">
        <f t="shared" ref="R131:R138" si="73">IF(P$12=0,0,P131/P$12)</f>
        <v>2.2986220232240171E-3</v>
      </c>
      <c r="S131" s="1"/>
      <c r="T131" s="1">
        <f>SUM(OSRRefT22_14x_0)</f>
        <v>4500</v>
      </c>
      <c r="U131" s="1"/>
      <c r="V131" s="5">
        <f t="shared" ref="V131:V138" si="74">IF(T$12=0,0,T131/T$12)</f>
        <v>1.5910606434532098E-3</v>
      </c>
      <c r="W131" s="1"/>
      <c r="X131" s="1">
        <f t="shared" ref="X131:X138" si="75">+P131-T131</f>
        <v>-740.16999999999962</v>
      </c>
      <c r="Y131" s="1"/>
      <c r="Z131" s="5">
        <f t="shared" ref="Z131:Z138" si="76">IF(T131=0,0,X131/T131)</f>
        <v>-0.16448222222222214</v>
      </c>
    </row>
    <row r="132" spans="1:26" s="24" customFormat="1" hidden="1" outlineLevel="2" x14ac:dyDescent="0.25">
      <c r="A132" s="26"/>
      <c r="B132" s="11" t="str">
        <f>CONCATENATE("          ", "6234", " - ", "EXPENDABLE SUPPLIES &amp; EQUIPMEN")</f>
        <v xml:space="preserve">          6234 - EXPENDABLE SUPPLIES &amp; EQUIPMEN</v>
      </c>
      <c r="C132" s="11"/>
      <c r="D132" s="7">
        <v>53</v>
      </c>
      <c r="E132" s="2"/>
      <c r="F132" s="6">
        <f t="shared" si="69"/>
        <v>1.4477167212810979E-4</v>
      </c>
      <c r="G132" s="2"/>
      <c r="H132" s="7">
        <v>50</v>
      </c>
      <c r="I132" s="2"/>
      <c r="J132" s="6">
        <f t="shared" si="70"/>
        <v>1.4734701695964166E-4</v>
      </c>
      <c r="K132" s="2"/>
      <c r="L132" s="7">
        <f t="shared" si="71"/>
        <v>3</v>
      </c>
      <c r="M132" s="2"/>
      <c r="N132" s="6">
        <f t="shared" si="72"/>
        <v>0.06</v>
      </c>
      <c r="O132" s="11"/>
      <c r="P132" s="7">
        <v>449.5</v>
      </c>
      <c r="Q132" s="2"/>
      <c r="R132" s="6">
        <f t="shared" si="73"/>
        <v>2.74807797011885E-4</v>
      </c>
      <c r="S132" s="2"/>
      <c r="T132" s="7">
        <v>500</v>
      </c>
      <c r="U132" s="2"/>
      <c r="V132" s="6">
        <f t="shared" si="74"/>
        <v>1.7678451593924552E-4</v>
      </c>
      <c r="W132" s="2"/>
      <c r="X132" s="7">
        <f t="shared" si="75"/>
        <v>-50.5</v>
      </c>
      <c r="Y132" s="2"/>
      <c r="Z132" s="6">
        <f t="shared" si="76"/>
        <v>-0.10100000000000001</v>
      </c>
    </row>
    <row r="133" spans="1:26" s="24" customFormat="1" hidden="1" outlineLevel="2" x14ac:dyDescent="0.25">
      <c r="A133" s="26"/>
      <c r="B133" s="11" t="str">
        <f>CONCATENATE("          ", "6235", " - ", "COVID-19 EXPENSES")</f>
        <v xml:space="preserve">          6235 - COVID-19 EXPENSES</v>
      </c>
      <c r="C133" s="11"/>
      <c r="D133" s="7"/>
      <c r="E133" s="2"/>
      <c r="F133" s="6">
        <f t="shared" si="69"/>
        <v>0</v>
      </c>
      <c r="G133" s="2"/>
      <c r="H133" s="7">
        <v>100</v>
      </c>
      <c r="I133" s="2"/>
      <c r="J133" s="6">
        <f t="shared" si="70"/>
        <v>2.9469403391928331E-4</v>
      </c>
      <c r="K133" s="2"/>
      <c r="L133" s="7">
        <f t="shared" si="71"/>
        <v>-100</v>
      </c>
      <c r="M133" s="2"/>
      <c r="N133" s="6">
        <f t="shared" si="72"/>
        <v>-1</v>
      </c>
      <c r="O133" s="11"/>
      <c r="P133" s="7">
        <v>1026.43</v>
      </c>
      <c r="Q133" s="2"/>
      <c r="R133" s="6">
        <f t="shared" si="73"/>
        <v>6.2752161754596025E-4</v>
      </c>
      <c r="S133" s="2"/>
      <c r="T133" s="7">
        <v>1000</v>
      </c>
      <c r="U133" s="2"/>
      <c r="V133" s="6">
        <f t="shared" si="74"/>
        <v>3.5356903187849103E-4</v>
      </c>
      <c r="W133" s="2"/>
      <c r="X133" s="7">
        <f t="shared" si="75"/>
        <v>26.430000000000064</v>
      </c>
      <c r="Y133" s="2"/>
      <c r="Z133" s="6">
        <f t="shared" si="76"/>
        <v>2.6430000000000065E-2</v>
      </c>
    </row>
    <row r="134" spans="1:26" s="24" customFormat="1" hidden="1" outlineLevel="2" x14ac:dyDescent="0.25">
      <c r="A134" s="26"/>
      <c r="B134" s="11" t="str">
        <f>CONCATENATE("          ", "6237", " - ", "JANITORIAL SUPPLIES")</f>
        <v xml:space="preserve">          6237 - JANITORIAL SUPPLIES</v>
      </c>
      <c r="C134" s="11"/>
      <c r="D134" s="7"/>
      <c r="E134" s="2"/>
      <c r="F134" s="6">
        <f t="shared" si="69"/>
        <v>0</v>
      </c>
      <c r="G134" s="2"/>
      <c r="H134" s="7">
        <v>50</v>
      </c>
      <c r="I134" s="2"/>
      <c r="J134" s="6">
        <f t="shared" si="70"/>
        <v>1.4734701695964166E-4</v>
      </c>
      <c r="K134" s="2"/>
      <c r="L134" s="7">
        <f t="shared" si="71"/>
        <v>-50</v>
      </c>
      <c r="M134" s="2"/>
      <c r="N134" s="6">
        <f t="shared" si="72"/>
        <v>-1</v>
      </c>
      <c r="O134" s="11"/>
      <c r="P134" s="7"/>
      <c r="Q134" s="2"/>
      <c r="R134" s="6">
        <f t="shared" si="73"/>
        <v>0</v>
      </c>
      <c r="S134" s="2"/>
      <c r="T134" s="7">
        <v>500</v>
      </c>
      <c r="U134" s="2"/>
      <c r="V134" s="6">
        <f t="shared" si="74"/>
        <v>1.7678451593924552E-4</v>
      </c>
      <c r="W134" s="2"/>
      <c r="X134" s="7">
        <f t="shared" si="75"/>
        <v>-500</v>
      </c>
      <c r="Y134" s="2"/>
      <c r="Z134" s="6">
        <f t="shared" si="76"/>
        <v>-1</v>
      </c>
    </row>
    <row r="135" spans="1:26" s="24" customFormat="1" hidden="1" outlineLevel="2" x14ac:dyDescent="0.25">
      <c r="A135" s="26"/>
      <c r="B135" s="11" t="str">
        <f>CONCATENATE("          ", "6241", " - ", "OFFICE EXPENSE")</f>
        <v xml:space="preserve">          6241 - OFFICE EXPENSE</v>
      </c>
      <c r="C135" s="11"/>
      <c r="D135" s="7">
        <v>76.86</v>
      </c>
      <c r="E135" s="2"/>
      <c r="F135" s="6">
        <f t="shared" si="69"/>
        <v>2.0994623999559469E-4</v>
      </c>
      <c r="G135" s="2"/>
      <c r="H135" s="7">
        <v>100</v>
      </c>
      <c r="I135" s="2"/>
      <c r="J135" s="6">
        <f t="shared" si="70"/>
        <v>2.9469403391928331E-4</v>
      </c>
      <c r="K135" s="2"/>
      <c r="L135" s="7">
        <f t="shared" si="71"/>
        <v>-23.14</v>
      </c>
      <c r="M135" s="2"/>
      <c r="N135" s="6">
        <f t="shared" si="72"/>
        <v>-0.23139999999999999</v>
      </c>
      <c r="O135" s="11"/>
      <c r="P135" s="7">
        <v>1173.67</v>
      </c>
      <c r="Q135" s="2"/>
      <c r="R135" s="6">
        <f t="shared" si="73"/>
        <v>7.1753874776182217E-4</v>
      </c>
      <c r="S135" s="2"/>
      <c r="T135" s="7">
        <v>1000</v>
      </c>
      <c r="U135" s="2"/>
      <c r="V135" s="6">
        <f t="shared" si="74"/>
        <v>3.5356903187849103E-4</v>
      </c>
      <c r="W135" s="2"/>
      <c r="X135" s="7">
        <f t="shared" si="75"/>
        <v>173.67000000000007</v>
      </c>
      <c r="Y135" s="2"/>
      <c r="Z135" s="6">
        <f t="shared" si="76"/>
        <v>0.17367000000000007</v>
      </c>
    </row>
    <row r="136" spans="1:26" s="24" customFormat="1" hidden="1" outlineLevel="2" x14ac:dyDescent="0.25">
      <c r="A136" s="26"/>
      <c r="B136" s="11" t="str">
        <f>CONCATENATE("          ", "6243", " - ", "PAPER SUPPLIES")</f>
        <v xml:space="preserve">          6243 - PAPER SUPPLIES</v>
      </c>
      <c r="C136" s="11"/>
      <c r="D136" s="7"/>
      <c r="E136" s="2"/>
      <c r="F136" s="6">
        <f t="shared" si="69"/>
        <v>0</v>
      </c>
      <c r="G136" s="2"/>
      <c r="H136" s="7">
        <v>50</v>
      </c>
      <c r="I136" s="2"/>
      <c r="J136" s="6">
        <f t="shared" si="70"/>
        <v>1.4734701695964166E-4</v>
      </c>
      <c r="K136" s="2"/>
      <c r="L136" s="7">
        <f t="shared" si="71"/>
        <v>-50</v>
      </c>
      <c r="M136" s="2"/>
      <c r="N136" s="6">
        <f t="shared" si="72"/>
        <v>-1</v>
      </c>
      <c r="O136" s="11"/>
      <c r="P136" s="7"/>
      <c r="Q136" s="2"/>
      <c r="R136" s="6">
        <f t="shared" si="73"/>
        <v>0</v>
      </c>
      <c r="S136" s="2"/>
      <c r="T136" s="7">
        <v>500</v>
      </c>
      <c r="U136" s="2"/>
      <c r="V136" s="6">
        <f t="shared" si="74"/>
        <v>1.7678451593924552E-4</v>
      </c>
      <c r="W136" s="2"/>
      <c r="X136" s="7">
        <f t="shared" si="75"/>
        <v>-500</v>
      </c>
      <c r="Y136" s="2"/>
      <c r="Z136" s="6">
        <f t="shared" si="76"/>
        <v>-1</v>
      </c>
    </row>
    <row r="137" spans="1:26" s="24" customFormat="1" hidden="1" outlineLevel="2" x14ac:dyDescent="0.25">
      <c r="A137" s="26"/>
      <c r="B137" s="11" t="str">
        <f>CONCATENATE("          ", "6245", " - ", "PRINTING")</f>
        <v xml:space="preserve">          6245 - PRINTING</v>
      </c>
      <c r="C137" s="11"/>
      <c r="D137" s="7"/>
      <c r="E137" s="2"/>
      <c r="F137" s="6">
        <f t="shared" si="69"/>
        <v>0</v>
      </c>
      <c r="G137" s="2"/>
      <c r="H137" s="7">
        <v>50</v>
      </c>
      <c r="I137" s="2"/>
      <c r="J137" s="6">
        <f t="shared" si="70"/>
        <v>1.4734701695964166E-4</v>
      </c>
      <c r="K137" s="2"/>
      <c r="L137" s="7">
        <f t="shared" si="71"/>
        <v>-50</v>
      </c>
      <c r="M137" s="2"/>
      <c r="N137" s="6">
        <f t="shared" si="72"/>
        <v>-1</v>
      </c>
      <c r="O137" s="11"/>
      <c r="P137" s="7"/>
      <c r="Q137" s="2"/>
      <c r="R137" s="6">
        <f t="shared" si="73"/>
        <v>0</v>
      </c>
      <c r="S137" s="2"/>
      <c r="T137" s="7">
        <v>500</v>
      </c>
      <c r="U137" s="2"/>
      <c r="V137" s="6">
        <f t="shared" si="74"/>
        <v>1.7678451593924552E-4</v>
      </c>
      <c r="W137" s="2"/>
      <c r="X137" s="7">
        <f t="shared" si="75"/>
        <v>-500</v>
      </c>
      <c r="Y137" s="2"/>
      <c r="Z137" s="6">
        <f t="shared" si="76"/>
        <v>-1</v>
      </c>
    </row>
    <row r="138" spans="1:26" s="24" customFormat="1" hidden="1" outlineLevel="2" x14ac:dyDescent="0.25">
      <c r="A138" s="26"/>
      <c r="B138" s="11" t="str">
        <f>CONCATENATE("          ", "6247", " - ", "STORE SUPPLIES")</f>
        <v xml:space="preserve">          6247 - STORE SUPPLIES</v>
      </c>
      <c r="C138" s="11"/>
      <c r="D138" s="7"/>
      <c r="E138" s="2"/>
      <c r="F138" s="6">
        <f t="shared" si="69"/>
        <v>0</v>
      </c>
      <c r="G138" s="2"/>
      <c r="H138" s="7">
        <v>50</v>
      </c>
      <c r="I138" s="2"/>
      <c r="J138" s="6">
        <f t="shared" si="70"/>
        <v>1.4734701695964166E-4</v>
      </c>
      <c r="K138" s="2"/>
      <c r="L138" s="7">
        <f t="shared" si="71"/>
        <v>-50</v>
      </c>
      <c r="M138" s="2"/>
      <c r="N138" s="6">
        <f t="shared" si="72"/>
        <v>-1</v>
      </c>
      <c r="O138" s="11"/>
      <c r="P138" s="7">
        <v>1110.23</v>
      </c>
      <c r="Q138" s="2"/>
      <c r="R138" s="6">
        <f t="shared" si="73"/>
        <v>6.7875386090434948E-4</v>
      </c>
      <c r="S138" s="2"/>
      <c r="T138" s="7">
        <v>500</v>
      </c>
      <c r="U138" s="2"/>
      <c r="V138" s="6">
        <f t="shared" si="74"/>
        <v>1.7678451593924552E-4</v>
      </c>
      <c r="W138" s="2"/>
      <c r="X138" s="7">
        <f t="shared" si="75"/>
        <v>610.23</v>
      </c>
      <c r="Y138" s="2"/>
      <c r="Z138" s="6">
        <f t="shared" si="76"/>
        <v>1.2204600000000001</v>
      </c>
    </row>
    <row r="139" spans="1:26" s="25" customFormat="1" outlineLevel="1" collapsed="1" x14ac:dyDescent="0.25">
      <c r="A139" s="27"/>
      <c r="B139" s="13" t="str">
        <f>CONCATENATE("     ","Telephone/Data Lines                              ")</f>
        <v xml:space="preserve">     Telephone/Data Lines                              </v>
      </c>
      <c r="C139" s="13"/>
      <c r="D139" s="1">
        <f>SUM(OSRRefD22_15x_0)</f>
        <v>97.85</v>
      </c>
      <c r="E139" s="1"/>
      <c r="F139" s="5">
        <f t="shared" ref="F139:F145" si="77">IF(D$12=0,0,D139/D$12)</f>
        <v>2.6728128524029326E-4</v>
      </c>
      <c r="G139" s="1"/>
      <c r="H139" s="1">
        <f>SUM(OSRRefH22_15x_0)</f>
        <v>600</v>
      </c>
      <c r="I139" s="1"/>
      <c r="J139" s="5">
        <f t="shared" ref="J139:J145" si="78">IF(H$12=0,0,H139/H$12)</f>
        <v>1.7681642035156998E-3</v>
      </c>
      <c r="K139" s="1"/>
      <c r="L139" s="1">
        <f t="shared" ref="L139:L145" si="79">+D139-H139</f>
        <v>-502.15</v>
      </c>
      <c r="M139" s="1"/>
      <c r="N139" s="5">
        <f t="shared" ref="N139:N145" si="80">IF(H139=0,0,L139/H139)</f>
        <v>-0.83691666666666664</v>
      </c>
      <c r="O139" s="13"/>
      <c r="P139" s="1">
        <f>SUM(OSRRefP22_15x_0)</f>
        <v>2967.79</v>
      </c>
      <c r="Q139" s="1"/>
      <c r="R139" s="5">
        <f t="shared" ref="R139:R145" si="81">IF(P$12=0,0,P139/P$12)</f>
        <v>1.8143978462600715E-3</v>
      </c>
      <c r="S139" s="1"/>
      <c r="T139" s="1">
        <f>SUM(OSRRefT22_15x_0)</f>
        <v>6000</v>
      </c>
      <c r="U139" s="1"/>
      <c r="V139" s="5">
        <f t="shared" ref="V139:V145" si="82">IF(T$12=0,0,T139/T$12)</f>
        <v>2.1214141912709464E-3</v>
      </c>
      <c r="W139" s="1"/>
      <c r="X139" s="1">
        <f t="shared" ref="X139:X145" si="83">+P139-T139</f>
        <v>-3032.21</v>
      </c>
      <c r="Y139" s="1"/>
      <c r="Z139" s="5">
        <f t="shared" ref="Z139:Z145" si="84">IF(T139=0,0,X139/T139)</f>
        <v>-0.50536833333333331</v>
      </c>
    </row>
    <row r="140" spans="1:26" s="24" customFormat="1" hidden="1" outlineLevel="2" x14ac:dyDescent="0.25">
      <c r="A140" s="26"/>
      <c r="B140" s="11" t="str">
        <f>CONCATENATE("          ", "6309", " - ", "TELEPHONE")</f>
        <v xml:space="preserve">          6309 - TELEPHONE</v>
      </c>
      <c r="C140" s="11"/>
      <c r="D140" s="7">
        <v>97.85</v>
      </c>
      <c r="E140" s="2"/>
      <c r="F140" s="6">
        <f t="shared" si="77"/>
        <v>2.6728128524029326E-4</v>
      </c>
      <c r="G140" s="2"/>
      <c r="H140" s="7">
        <v>600</v>
      </c>
      <c r="I140" s="2"/>
      <c r="J140" s="6">
        <f t="shared" si="78"/>
        <v>1.7681642035156998E-3</v>
      </c>
      <c r="K140" s="2"/>
      <c r="L140" s="7">
        <f t="shared" si="79"/>
        <v>-502.15</v>
      </c>
      <c r="M140" s="2"/>
      <c r="N140" s="6">
        <f t="shared" si="80"/>
        <v>-0.83691666666666664</v>
      </c>
      <c r="O140" s="11"/>
      <c r="P140" s="7">
        <v>2967.79</v>
      </c>
      <c r="Q140" s="2"/>
      <c r="R140" s="6">
        <f t="shared" si="81"/>
        <v>1.8143978462600715E-3</v>
      </c>
      <c r="S140" s="2"/>
      <c r="T140" s="7">
        <v>6000</v>
      </c>
      <c r="U140" s="2"/>
      <c r="V140" s="6">
        <f t="shared" si="82"/>
        <v>2.1214141912709464E-3</v>
      </c>
      <c r="W140" s="2"/>
      <c r="X140" s="7">
        <f t="shared" si="83"/>
        <v>-3032.21</v>
      </c>
      <c r="Y140" s="2"/>
      <c r="Z140" s="6">
        <f t="shared" si="84"/>
        <v>-0.50536833333333331</v>
      </c>
    </row>
    <row r="141" spans="1:26" s="25" customFormat="1" outlineLevel="1" collapsed="1" x14ac:dyDescent="0.25">
      <c r="A141" s="27"/>
      <c r="B141" s="13" t="str">
        <f>CONCATENATE("     ","Training                                          ")</f>
        <v xml:space="preserve">     Training                                          </v>
      </c>
      <c r="C141" s="13"/>
      <c r="D141" s="1">
        <f>SUM(OSRRefD22_16x_0)</f>
        <v>0</v>
      </c>
      <c r="E141" s="1"/>
      <c r="F141" s="5">
        <f t="shared" si="77"/>
        <v>0</v>
      </c>
      <c r="G141" s="1"/>
      <c r="H141" s="1">
        <f>SUM(OSRRefH22_16x_0)</f>
        <v>0</v>
      </c>
      <c r="I141" s="1"/>
      <c r="J141" s="5">
        <f t="shared" si="78"/>
        <v>0</v>
      </c>
      <c r="K141" s="1"/>
      <c r="L141" s="1">
        <f t="shared" si="79"/>
        <v>0</v>
      </c>
      <c r="M141" s="1"/>
      <c r="N141" s="5">
        <f t="shared" si="80"/>
        <v>0</v>
      </c>
      <c r="O141" s="13"/>
      <c r="P141" s="1">
        <f>SUM(OSRRefP22_16x_0)</f>
        <v>0</v>
      </c>
      <c r="Q141" s="1"/>
      <c r="R141" s="5">
        <f t="shared" si="81"/>
        <v>0</v>
      </c>
      <c r="S141" s="1"/>
      <c r="T141" s="1">
        <f>SUM(OSRRefT22_16x_0)</f>
        <v>3600</v>
      </c>
      <c r="U141" s="1"/>
      <c r="V141" s="5">
        <f t="shared" si="82"/>
        <v>1.2728485147625679E-3</v>
      </c>
      <c r="W141" s="1"/>
      <c r="X141" s="1">
        <f t="shared" si="83"/>
        <v>-3600</v>
      </c>
      <c r="Y141" s="1"/>
      <c r="Z141" s="5">
        <f t="shared" si="84"/>
        <v>-1</v>
      </c>
    </row>
    <row r="142" spans="1:26" s="24" customFormat="1" hidden="1" outlineLevel="2" x14ac:dyDescent="0.25">
      <c r="A142" s="26"/>
      <c r="B142" s="11" t="str">
        <f>CONCATENATE("          ", "6376", " - ", "TRAINING")</f>
        <v xml:space="preserve">          6376 - TRAINING</v>
      </c>
      <c r="C142" s="11"/>
      <c r="D142" s="7"/>
      <c r="E142" s="2"/>
      <c r="F142" s="6">
        <f t="shared" si="77"/>
        <v>0</v>
      </c>
      <c r="G142" s="2"/>
      <c r="H142" s="7"/>
      <c r="I142" s="2"/>
      <c r="J142" s="6">
        <f t="shared" si="78"/>
        <v>0</v>
      </c>
      <c r="K142" s="2"/>
      <c r="L142" s="7">
        <f t="shared" si="79"/>
        <v>0</v>
      </c>
      <c r="M142" s="2"/>
      <c r="N142" s="6">
        <f t="shared" si="80"/>
        <v>0</v>
      </c>
      <c r="O142" s="11"/>
      <c r="P142" s="7"/>
      <c r="Q142" s="2"/>
      <c r="R142" s="6">
        <f t="shared" si="81"/>
        <v>0</v>
      </c>
      <c r="S142" s="2"/>
      <c r="T142" s="7">
        <v>3600</v>
      </c>
      <c r="U142" s="2"/>
      <c r="V142" s="6">
        <f t="shared" si="82"/>
        <v>1.2728485147625679E-3</v>
      </c>
      <c r="W142" s="2"/>
      <c r="X142" s="7">
        <f t="shared" si="83"/>
        <v>-3600</v>
      </c>
      <c r="Y142" s="2"/>
      <c r="Z142" s="6">
        <f t="shared" si="84"/>
        <v>-1</v>
      </c>
    </row>
    <row r="143" spans="1:26" s="25" customFormat="1" outlineLevel="1" collapsed="1" x14ac:dyDescent="0.25">
      <c r="A143" s="27"/>
      <c r="B143" s="13" t="str">
        <f>CONCATENATE("     ","Travel                                            ")</f>
        <v xml:space="preserve">     Travel                                            </v>
      </c>
      <c r="C143" s="13"/>
      <c r="D143" s="1">
        <f>SUM(OSRRefD22_17x_0)</f>
        <v>43.9</v>
      </c>
      <c r="E143" s="1"/>
      <c r="F143" s="5">
        <f t="shared" si="77"/>
        <v>1.1991464917781169E-4</v>
      </c>
      <c r="G143" s="1"/>
      <c r="H143" s="1">
        <f>SUM(OSRRefH22_17x_0)</f>
        <v>25</v>
      </c>
      <c r="I143" s="1"/>
      <c r="J143" s="5">
        <f t="shared" si="78"/>
        <v>7.3673508479820828E-5</v>
      </c>
      <c r="K143" s="1"/>
      <c r="L143" s="1">
        <f t="shared" si="79"/>
        <v>18.899999999999999</v>
      </c>
      <c r="M143" s="1"/>
      <c r="N143" s="5">
        <f t="shared" si="80"/>
        <v>0.75599999999999989</v>
      </c>
      <c r="O143" s="13"/>
      <c r="P143" s="1">
        <f>SUM(OSRRefP22_17x_0)</f>
        <v>113.82</v>
      </c>
      <c r="Q143" s="1"/>
      <c r="R143" s="5">
        <f t="shared" si="81"/>
        <v>6.9585369201096214E-5</v>
      </c>
      <c r="S143" s="1"/>
      <c r="T143" s="1">
        <f>SUM(OSRRefT22_17x_0)</f>
        <v>250</v>
      </c>
      <c r="U143" s="1"/>
      <c r="V143" s="5">
        <f t="shared" si="82"/>
        <v>8.8392257969622758E-5</v>
      </c>
      <c r="W143" s="1"/>
      <c r="X143" s="1">
        <f t="shared" si="83"/>
        <v>-136.18</v>
      </c>
      <c r="Y143" s="1"/>
      <c r="Z143" s="5">
        <f t="shared" si="84"/>
        <v>-0.54471999999999998</v>
      </c>
    </row>
    <row r="144" spans="1:26" s="24" customFormat="1" hidden="1" outlineLevel="2" x14ac:dyDescent="0.25">
      <c r="A144" s="26"/>
      <c r="B144" s="11" t="str">
        <f>CONCATENATE("          ", "6294", " - ", "TRAVEL OPERATIONAL")</f>
        <v xml:space="preserve">          6294 - TRAVEL OPERATIONAL</v>
      </c>
      <c r="C144" s="11"/>
      <c r="D144" s="7">
        <v>43.9</v>
      </c>
      <c r="E144" s="2"/>
      <c r="F144" s="6">
        <f t="shared" si="77"/>
        <v>1.1991464917781169E-4</v>
      </c>
      <c r="G144" s="2"/>
      <c r="H144" s="7">
        <v>25</v>
      </c>
      <c r="I144" s="2"/>
      <c r="J144" s="6">
        <f t="shared" si="78"/>
        <v>7.3673508479820828E-5</v>
      </c>
      <c r="K144" s="2"/>
      <c r="L144" s="7">
        <f t="shared" si="79"/>
        <v>18.899999999999999</v>
      </c>
      <c r="M144" s="2"/>
      <c r="N144" s="6">
        <f t="shared" si="80"/>
        <v>0.75599999999999989</v>
      </c>
      <c r="O144" s="11"/>
      <c r="P144" s="7">
        <v>113.82</v>
      </c>
      <c r="Q144" s="2"/>
      <c r="R144" s="6">
        <f t="shared" si="81"/>
        <v>6.9585369201096214E-5</v>
      </c>
      <c r="S144" s="2"/>
      <c r="T144" s="7">
        <v>250</v>
      </c>
      <c r="U144" s="2"/>
      <c r="V144" s="6">
        <f t="shared" si="82"/>
        <v>8.8392257969622758E-5</v>
      </c>
      <c r="W144" s="2"/>
      <c r="X144" s="7">
        <f t="shared" si="83"/>
        <v>-136.18</v>
      </c>
      <c r="Y144" s="2"/>
      <c r="Z144" s="6">
        <f t="shared" si="84"/>
        <v>-0.54471999999999998</v>
      </c>
    </row>
    <row r="145" spans="1:26" s="24" customFormat="1" hidden="1" outlineLevel="2" x14ac:dyDescent="0.25">
      <c r="A145" s="26"/>
      <c r="B145" s="11" t="str">
        <f>CONCATENATE("          ", "6298", " - ", "VEHICLE MILEAGE")</f>
        <v xml:space="preserve">          6298 - VEHICLE MILEAGE</v>
      </c>
      <c r="C145" s="11"/>
      <c r="D145" s="7"/>
      <c r="E145" s="2"/>
      <c r="F145" s="6">
        <f t="shared" si="77"/>
        <v>0</v>
      </c>
      <c r="G145" s="2"/>
      <c r="H145" s="7">
        <v>0</v>
      </c>
      <c r="I145" s="2"/>
      <c r="J145" s="6">
        <f t="shared" si="78"/>
        <v>0</v>
      </c>
      <c r="K145" s="2"/>
      <c r="L145" s="7">
        <f t="shared" si="79"/>
        <v>0</v>
      </c>
      <c r="M145" s="2"/>
      <c r="N145" s="6">
        <f t="shared" si="80"/>
        <v>0</v>
      </c>
      <c r="O145" s="11"/>
      <c r="P145" s="7"/>
      <c r="Q145" s="2"/>
      <c r="R145" s="6">
        <f t="shared" si="81"/>
        <v>0</v>
      </c>
      <c r="S145" s="2"/>
      <c r="T145" s="7">
        <v>0</v>
      </c>
      <c r="U145" s="2"/>
      <c r="V145" s="6">
        <f t="shared" si="82"/>
        <v>0</v>
      </c>
      <c r="W145" s="2"/>
      <c r="X145" s="7">
        <f t="shared" si="83"/>
        <v>0</v>
      </c>
      <c r="Y145" s="2"/>
      <c r="Z145" s="6">
        <f t="shared" si="84"/>
        <v>0</v>
      </c>
    </row>
    <row r="146" spans="1:26" s="61" customFormat="1" x14ac:dyDescent="0.25">
      <c r="A146" s="36"/>
      <c r="B146" s="36"/>
      <c r="C146" s="36"/>
      <c r="D146" s="1"/>
      <c r="E146" s="1"/>
      <c r="F146" s="5"/>
      <c r="G146" s="1"/>
      <c r="H146" s="1"/>
      <c r="I146" s="1"/>
      <c r="J146" s="5"/>
      <c r="K146" s="1"/>
      <c r="L146" s="1"/>
      <c r="M146" s="1"/>
      <c r="N146" s="5"/>
      <c r="O146" s="36"/>
      <c r="P146" s="1"/>
      <c r="Q146" s="1"/>
      <c r="R146" s="5"/>
      <c r="S146" s="1"/>
      <c r="T146" s="1"/>
      <c r="U146" s="1"/>
      <c r="V146" s="5"/>
      <c r="W146" s="1"/>
      <c r="X146" s="1"/>
      <c r="Y146" s="1"/>
      <c r="Z146" s="5"/>
    </row>
    <row r="147" spans="1:26" s="23" customFormat="1" collapsed="1" x14ac:dyDescent="0.25">
      <c r="A147" s="10"/>
      <c r="B147" s="29" t="s">
        <v>293</v>
      </c>
      <c r="C147" s="10"/>
      <c r="D147" s="4">
        <f>SUM(OSRRefD25x_0)</f>
        <v>18017.009999999998</v>
      </c>
      <c r="E147" s="4"/>
      <c r="F147" s="12">
        <f t="shared" ref="F147:F151" si="85">IF(D$12=0,0,D147/D$12)</f>
        <v>4.9214201216016509E-2</v>
      </c>
      <c r="G147" s="4"/>
      <c r="H147" s="4">
        <f>SUM(OSRRefH25x_0)</f>
        <v>8075</v>
      </c>
      <c r="I147" s="4"/>
      <c r="J147" s="12">
        <f t="shared" ref="J147:J151" si="86">IF(H$12=0,0,H147/H$12)</f>
        <v>2.3796543238982126E-2</v>
      </c>
      <c r="K147" s="4"/>
      <c r="L147" s="4">
        <f t="shared" ref="L147:L151" si="87">+D147-H147</f>
        <v>9942.0099999999984</v>
      </c>
      <c r="M147" s="4"/>
      <c r="N147" s="12">
        <f t="shared" ref="N147:N151" si="88">IF(H147=0,0,L147/H147)</f>
        <v>1.23120866873065</v>
      </c>
      <c r="O147" s="10"/>
      <c r="P147" s="4">
        <f>SUM(OSRRefP25x_0)</f>
        <v>410824.77999999997</v>
      </c>
      <c r="Q147" s="4"/>
      <c r="R147" s="12">
        <f t="shared" ref="R147:R151" si="89">IF(P$12=0,0,P147/P$12)</f>
        <v>0.25116318742979377</v>
      </c>
      <c r="S147" s="4"/>
      <c r="T147" s="4">
        <f>SUM(OSRRefT25x_0)</f>
        <v>427990</v>
      </c>
      <c r="U147" s="4"/>
      <c r="V147" s="12">
        <f t="shared" ref="V147:V151" si="90">IF(T$12=0,0,T147/T$12)</f>
        <v>0.1513240099536754</v>
      </c>
      <c r="W147" s="4"/>
      <c r="X147" s="4">
        <f t="shared" ref="X147:X151" si="91">+P147-T147</f>
        <v>-17165.22000000003</v>
      </c>
      <c r="Y147" s="4"/>
      <c r="Z147" s="12">
        <f t="shared" ref="Z147:Z151" si="92">IF(T147=0,0,X147/T147)</f>
        <v>-4.0106591275497164E-2</v>
      </c>
    </row>
    <row r="148" spans="1:26" s="24" customFormat="1" hidden="1" outlineLevel="1" x14ac:dyDescent="0.25">
      <c r="A148" s="44"/>
      <c r="B148" s="11" t="str">
        <f>CONCATENATE("          ", "4098", " - ", "TAXABLE SALES-GRAD RENTALS")</f>
        <v xml:space="preserve">          4098 - TAXABLE SALES-GRAD RENTALS</v>
      </c>
      <c r="C148" s="11"/>
      <c r="D148" s="2">
        <f>--49.95</f>
        <v>49.95</v>
      </c>
      <c r="E148" s="2"/>
      <c r="F148" s="19">
        <f t="shared" si="85"/>
        <v>1.3644047212828462E-4</v>
      </c>
      <c r="G148" s="2"/>
      <c r="H148" s="2"/>
      <c r="I148" s="2"/>
      <c r="J148" s="19">
        <f t="shared" si="86"/>
        <v>0</v>
      </c>
      <c r="K148" s="2"/>
      <c r="L148" s="2">
        <f t="shared" si="87"/>
        <v>49.95</v>
      </c>
      <c r="M148" s="2"/>
      <c r="N148" s="19">
        <f t="shared" si="88"/>
        <v>0</v>
      </c>
      <c r="O148" s="11"/>
      <c r="P148" s="2">
        <f>--49.95</f>
        <v>49.95</v>
      </c>
      <c r="Q148" s="2"/>
      <c r="R148" s="19">
        <f t="shared" si="89"/>
        <v>3.0537596130686667E-5</v>
      </c>
      <c r="S148" s="2"/>
      <c r="T148" s="2"/>
      <c r="U148" s="2"/>
      <c r="V148" s="19">
        <f t="shared" si="90"/>
        <v>0</v>
      </c>
      <c r="W148" s="2"/>
      <c r="X148" s="2">
        <f t="shared" si="91"/>
        <v>49.95</v>
      </c>
      <c r="Y148" s="2"/>
      <c r="Z148" s="19">
        <f t="shared" si="92"/>
        <v>0</v>
      </c>
    </row>
    <row r="149" spans="1:26" s="24" customFormat="1" hidden="1" outlineLevel="1" x14ac:dyDescent="0.25">
      <c r="A149" s="44"/>
      <c r="B149" s="11" t="str">
        <f>CONCATENATE("          ", "9150", " - ", "MISC. INCOME")</f>
        <v xml:space="preserve">          9150 - MISC. INCOME</v>
      </c>
      <c r="C149" s="11"/>
      <c r="D149" s="2">
        <f>--17922.96</f>
        <v>17922.96</v>
      </c>
      <c r="E149" s="2"/>
      <c r="F149" s="19">
        <f t="shared" si="85"/>
        <v>4.8957299786513711E-2</v>
      </c>
      <c r="G149" s="2"/>
      <c r="H149" s="2">
        <v>8075</v>
      </c>
      <c r="I149" s="2"/>
      <c r="J149" s="19">
        <f t="shared" si="86"/>
        <v>2.3796543238982126E-2</v>
      </c>
      <c r="K149" s="2"/>
      <c r="L149" s="2">
        <f t="shared" si="87"/>
        <v>9847.9599999999991</v>
      </c>
      <c r="M149" s="2"/>
      <c r="N149" s="19">
        <f t="shared" si="88"/>
        <v>1.2195616099071207</v>
      </c>
      <c r="O149" s="11"/>
      <c r="P149" s="2">
        <f>--64296.27</f>
        <v>64296.27</v>
      </c>
      <c r="Q149" s="2"/>
      <c r="R149" s="19">
        <f t="shared" si="89"/>
        <v>3.9308378898289989E-2</v>
      </c>
      <c r="S149" s="2"/>
      <c r="T149" s="2">
        <v>80750</v>
      </c>
      <c r="U149" s="2"/>
      <c r="V149" s="19">
        <f t="shared" si="90"/>
        <v>2.8550699324188151E-2</v>
      </c>
      <c r="W149" s="2"/>
      <c r="X149" s="2">
        <f t="shared" si="91"/>
        <v>-16453.730000000003</v>
      </c>
      <c r="Y149" s="2"/>
      <c r="Z149" s="19">
        <f t="shared" si="92"/>
        <v>-0.20376136222910221</v>
      </c>
    </row>
    <row r="150" spans="1:26" s="24" customFormat="1" hidden="1" outlineLevel="1" x14ac:dyDescent="0.25">
      <c r="A150" s="44"/>
      <c r="B150" s="11" t="str">
        <f>CONCATENATE("          ", "9151", " - ", "MISC. INCOME")</f>
        <v xml:space="preserve">          9151 - MISC. INCOME</v>
      </c>
      <c r="C150" s="11"/>
      <c r="D150" s="2">
        <f>0</f>
        <v>0</v>
      </c>
      <c r="E150" s="2"/>
      <c r="F150" s="19">
        <f t="shared" si="85"/>
        <v>0</v>
      </c>
      <c r="G150" s="2"/>
      <c r="H150" s="2">
        <v>0</v>
      </c>
      <c r="I150" s="2"/>
      <c r="J150" s="19">
        <f t="shared" si="86"/>
        <v>0</v>
      </c>
      <c r="K150" s="2"/>
      <c r="L150" s="2">
        <f t="shared" si="87"/>
        <v>0</v>
      </c>
      <c r="M150" s="2"/>
      <c r="N150" s="19">
        <f t="shared" si="88"/>
        <v>0</v>
      </c>
      <c r="O150" s="11"/>
      <c r="P150" s="2">
        <f>0</f>
        <v>0</v>
      </c>
      <c r="Q150" s="2"/>
      <c r="R150" s="19">
        <f t="shared" si="89"/>
        <v>0</v>
      </c>
      <c r="S150" s="2"/>
      <c r="T150" s="2">
        <v>347240</v>
      </c>
      <c r="U150" s="2"/>
      <c r="V150" s="19">
        <f t="shared" si="90"/>
        <v>0.12277331062948724</v>
      </c>
      <c r="W150" s="2"/>
      <c r="X150" s="2">
        <f t="shared" si="91"/>
        <v>-347240</v>
      </c>
      <c r="Y150" s="2"/>
      <c r="Z150" s="19">
        <f t="shared" si="92"/>
        <v>-1</v>
      </c>
    </row>
    <row r="151" spans="1:26" s="24" customFormat="1" hidden="1" outlineLevel="1" x14ac:dyDescent="0.25">
      <c r="A151" s="44"/>
      <c r="B151" s="11" t="str">
        <f>CONCATENATE("          ", "9163", " - ", "MISC. INCOME")</f>
        <v xml:space="preserve">          9163 - MISC. INCOME</v>
      </c>
      <c r="C151" s="11"/>
      <c r="D151" s="2">
        <f>--44.1</f>
        <v>44.1</v>
      </c>
      <c r="E151" s="2"/>
      <c r="F151" s="19">
        <f t="shared" si="85"/>
        <v>1.2046095737452155E-4</v>
      </c>
      <c r="G151" s="2"/>
      <c r="H151" s="2"/>
      <c r="I151" s="2"/>
      <c r="J151" s="19">
        <f t="shared" si="86"/>
        <v>0</v>
      </c>
      <c r="K151" s="2"/>
      <c r="L151" s="2">
        <f t="shared" si="87"/>
        <v>44.1</v>
      </c>
      <c r="M151" s="2"/>
      <c r="N151" s="19">
        <f t="shared" si="88"/>
        <v>0</v>
      </c>
      <c r="O151" s="11"/>
      <c r="P151" s="2">
        <f>--346478.56</f>
        <v>346478.56</v>
      </c>
      <c r="Q151" s="2"/>
      <c r="R151" s="19">
        <f t="shared" si="89"/>
        <v>0.21182427093537312</v>
      </c>
      <c r="S151" s="2"/>
      <c r="T151" s="2"/>
      <c r="U151" s="2"/>
      <c r="V151" s="19">
        <f t="shared" si="90"/>
        <v>0</v>
      </c>
      <c r="W151" s="2"/>
      <c r="X151" s="2">
        <f t="shared" si="91"/>
        <v>346478.56</v>
      </c>
      <c r="Y151" s="2"/>
      <c r="Z151" s="19">
        <f t="shared" si="92"/>
        <v>0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10"/>
      <c r="B153" s="28" t="s">
        <v>277</v>
      </c>
      <c r="C153" s="28"/>
      <c r="D153" s="21">
        <f>+D77-D79+D147</f>
        <v>152582.72999999981</v>
      </c>
      <c r="E153" s="14"/>
      <c r="F153" s="20">
        <f>IF(D$12=0,0,D153/D$12)</f>
        <v>0.41678598037682779</v>
      </c>
      <c r="G153" s="14"/>
      <c r="H153" s="21">
        <f>+H77-H79+H147</f>
        <v>76822.251479653831</v>
      </c>
      <c r="I153" s="14"/>
      <c r="J153" s="20">
        <f>IF(H$12=0,0,H153/H$12)</f>
        <v>0.22639059183300819</v>
      </c>
      <c r="K153" s="16"/>
      <c r="L153" s="21">
        <f>+D153-H153</f>
        <v>75760.478520345976</v>
      </c>
      <c r="M153" s="16"/>
      <c r="N153" s="20">
        <f>IF(H153=0,0,L153/H153)</f>
        <v>0.98617883570375353</v>
      </c>
      <c r="O153" s="29"/>
      <c r="P153" s="21">
        <f>+P77-P79+P147</f>
        <v>658760.95999999938</v>
      </c>
      <c r="Q153" s="14"/>
      <c r="R153" s="20">
        <f>IF(P$12=0,0,P153/P$12)</f>
        <v>0.40274226512799627</v>
      </c>
      <c r="S153" s="14"/>
      <c r="T153" s="21">
        <f>+T77-T79+T147</f>
        <v>925135.11158215359</v>
      </c>
      <c r="U153" s="14"/>
      <c r="V153" s="20">
        <f>IF(T$12=0,0,T153/T$12)</f>
        <v>0.32709912575890182</v>
      </c>
      <c r="W153" s="16"/>
      <c r="X153" s="21">
        <f>+P153-T153</f>
        <v>-266374.15158215421</v>
      </c>
      <c r="Y153" s="16"/>
      <c r="Z153" s="20">
        <f>IF(T153=0,0,X153/T153)</f>
        <v>-0.28792999881563758</v>
      </c>
    </row>
    <row r="154" spans="1:26" x14ac:dyDescent="0.25">
      <c r="A154" s="9"/>
      <c r="B154" s="10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52"/>
      <c r="B155" s="10" t="s">
        <v>128</v>
      </c>
      <c r="C155" s="10"/>
      <c r="D155" s="4">
        <v>80539.97</v>
      </c>
      <c r="E155" s="4"/>
      <c r="F155" s="12">
        <f>IF(D$12=0,0,D155/D$12)</f>
        <v>0.21999822886882639</v>
      </c>
      <c r="G155" s="4"/>
      <c r="H155" s="4">
        <v>72190</v>
      </c>
      <c r="I155" s="4"/>
      <c r="J155" s="12">
        <f>IF(H$12=0,0,H155/H$12)</f>
        <v>0.21273962308633063</v>
      </c>
      <c r="K155" s="4"/>
      <c r="L155" s="4">
        <f>+D155-H155</f>
        <v>8349.9700000000012</v>
      </c>
      <c r="M155" s="4"/>
      <c r="N155" s="12">
        <f>IF(H155=0,0,L155/H155)</f>
        <v>0.11566657431777257</v>
      </c>
      <c r="O155" s="10"/>
      <c r="P155" s="4">
        <v>342192.71</v>
      </c>
      <c r="Q155" s="4"/>
      <c r="R155" s="12">
        <f>IF(P$12=0,0,P155/P$12)</f>
        <v>0.20920405959650018</v>
      </c>
      <c r="S155" s="4"/>
      <c r="T155" s="4">
        <v>512339</v>
      </c>
      <c r="U155" s="4"/>
      <c r="V155" s="12">
        <f>IF(T$12=0,0,T155/T$12)</f>
        <v>0.18114720422359423</v>
      </c>
      <c r="W155" s="4"/>
      <c r="X155" s="4">
        <f>+P155-T155</f>
        <v>-170146.28999999998</v>
      </c>
      <c r="Y155" s="4"/>
      <c r="Z155" s="12">
        <f>IF(T155=0,0,X155/T155)</f>
        <v>-0.33209708806083466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ht="15.75" thickBot="1" x14ac:dyDescent="0.3">
      <c r="A157" s="10"/>
      <c r="B157" s="28" t="s">
        <v>126</v>
      </c>
      <c r="C157" s="28"/>
      <c r="D157" s="31">
        <f>+D153-D155</f>
        <v>72042.759999999806</v>
      </c>
      <c r="E157" s="14"/>
      <c r="F157" s="33">
        <f>IF(D$12=0,0,D157/D$12)</f>
        <v>0.1967877515080014</v>
      </c>
      <c r="G157" s="14"/>
      <c r="H157" s="31">
        <f>+H153-H155</f>
        <v>4632.2514796538308</v>
      </c>
      <c r="I157" s="14"/>
      <c r="J157" s="33">
        <f>IF(H$12=0,0,H157/H$12)</f>
        <v>1.3650968746677563E-2</v>
      </c>
      <c r="K157" s="16"/>
      <c r="L157" s="31">
        <f>D157-H157</f>
        <v>67410.508520345975</v>
      </c>
      <c r="M157" s="16"/>
      <c r="N157" s="33">
        <f>IF(H157=0,0,L157/H157)</f>
        <v>14.552428514823115</v>
      </c>
      <c r="O157" s="29"/>
      <c r="P157" s="31">
        <f>+P153-P155</f>
        <v>316568.24999999936</v>
      </c>
      <c r="Q157" s="14"/>
      <c r="R157" s="33">
        <f>IF(P$12=0,0,P157/P$12)</f>
        <v>0.19353820553149609</v>
      </c>
      <c r="S157" s="14"/>
      <c r="T157" s="31">
        <f>+T153-T155</f>
        <v>412796.11158215359</v>
      </c>
      <c r="U157" s="14"/>
      <c r="V157" s="33">
        <f>IF(T$12=0,0,T157/T$12)</f>
        <v>0.14595192153530762</v>
      </c>
      <c r="W157" s="16"/>
      <c r="X157" s="31">
        <f>P157-T157</f>
        <v>-96227.861582154233</v>
      </c>
      <c r="Y157" s="16"/>
      <c r="Z157" s="33">
        <f>IF(T157=0,0,X157/T157)</f>
        <v>-0.23311232563052672</v>
      </c>
    </row>
    <row r="158" spans="1:26" ht="15.75" thickTop="1" x14ac:dyDescent="0.25">
      <c r="A158" s="9"/>
      <c r="B158" s="9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x14ac:dyDescent="0.25">
      <c r="A159" s="9"/>
      <c r="B159" s="9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ht="15.75" thickBot="1" x14ac:dyDescent="0.3">
      <c r="A160" s="10"/>
      <c r="B160" s="28" t="s">
        <v>294</v>
      </c>
      <c r="C160" s="28"/>
      <c r="D160" s="34">
        <f>SUM(D157:D159)</f>
        <v>72042.759999999806</v>
      </c>
      <c r="E160" s="14"/>
      <c r="F160" s="35">
        <f>IF(D$12=0,0,D160/D$12)</f>
        <v>0.1967877515080014</v>
      </c>
      <c r="G160" s="14"/>
      <c r="H160" s="34">
        <f>SUM(H157:H159)</f>
        <v>4632.2514796538308</v>
      </c>
      <c r="I160" s="14"/>
      <c r="J160" s="35">
        <f>IF(H$12=0,0,H160/H$12)</f>
        <v>1.3650968746677563E-2</v>
      </c>
      <c r="K160" s="16"/>
      <c r="L160" s="34">
        <f>+D160-H160</f>
        <v>67410.508520345975</v>
      </c>
      <c r="M160" s="16"/>
      <c r="N160" s="35">
        <f>IF(H160=0,0,L160/H160)</f>
        <v>14.552428514823115</v>
      </c>
      <c r="O160" s="29"/>
      <c r="P160" s="34">
        <f>SUM(P157:P159)</f>
        <v>316568.24999999936</v>
      </c>
      <c r="Q160" s="14"/>
      <c r="R160" s="35">
        <f>IF(P$12=0,0,P160/P$12)</f>
        <v>0.19353820553149609</v>
      </c>
      <c r="S160" s="14"/>
      <c r="T160" s="34">
        <f>SUM(T157:T159)</f>
        <v>412796.11158215359</v>
      </c>
      <c r="U160" s="14"/>
      <c r="V160" s="35">
        <f>IF(T$12=0,0,T160/T$12)</f>
        <v>0.14595192153530762</v>
      </c>
      <c r="W160" s="16"/>
      <c r="X160" s="34">
        <f>+P160-T160</f>
        <v>-96227.861582154233</v>
      </c>
      <c r="Y160" s="16"/>
      <c r="Z160" s="35">
        <f>IF(T160=0,0,X160/T160)</f>
        <v>-0.23311232563052672</v>
      </c>
    </row>
    <row r="161" spans="1:24" ht="15.75" thickTop="1" x14ac:dyDescent="0.25">
      <c r="A161" s="9"/>
      <c r="C161" s="9"/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  <row r="162" spans="1:24" x14ac:dyDescent="0.25">
      <c r="A162" s="9"/>
      <c r="B162" s="62">
        <v>44330.0058283912</v>
      </c>
      <c r="D162" s="18"/>
      <c r="E162" s="18"/>
      <c r="G162" s="18"/>
      <c r="H162" s="18"/>
      <c r="I162" s="18"/>
      <c r="J162" s="43"/>
      <c r="K162" s="18"/>
      <c r="L162" s="18"/>
      <c r="M162" s="18"/>
      <c r="P162" s="18"/>
      <c r="Q162" s="18"/>
      <c r="R162" s="43"/>
      <c r="S162" s="18"/>
      <c r="T162" s="18"/>
      <c r="U162" s="18"/>
      <c r="V162" s="43"/>
      <c r="W162" s="18"/>
      <c r="X162" s="18"/>
    </row>
    <row r="163" spans="1:24" x14ac:dyDescent="0.25">
      <c r="A163" s="9"/>
      <c r="B163" s="56" t="s">
        <v>56</v>
      </c>
      <c r="D163" s="18"/>
      <c r="E163" s="18"/>
      <c r="G163" s="18"/>
      <c r="H163" s="18"/>
      <c r="I163" s="18"/>
      <c r="J163" s="43"/>
      <c r="K163" s="18"/>
      <c r="L163" s="18"/>
      <c r="M163" s="18"/>
      <c r="P163" s="18"/>
      <c r="Q163" s="18"/>
      <c r="R163" s="43"/>
      <c r="S163" s="18"/>
      <c r="T163" s="18"/>
      <c r="U163" s="18"/>
      <c r="V163" s="43"/>
      <c r="W163" s="18"/>
      <c r="X163" s="18"/>
    </row>
    <row r="164" spans="1:24" x14ac:dyDescent="0.25">
      <c r="A164" s="9"/>
      <c r="B164" s="55"/>
      <c r="D164" s="18"/>
      <c r="E164" s="18"/>
      <c r="G164" s="18"/>
      <c r="H164" s="18"/>
      <c r="I164" s="18"/>
      <c r="J164" s="43"/>
      <c r="K164" s="18"/>
      <c r="L164" s="18"/>
      <c r="M164" s="18"/>
      <c r="P164" s="18"/>
      <c r="Q164" s="18"/>
      <c r="R164" s="43"/>
      <c r="S164" s="18"/>
      <c r="T164" s="18"/>
      <c r="U164" s="18"/>
      <c r="V164" s="43"/>
      <c r="W164" s="18"/>
      <c r="X164" s="18"/>
    </row>
    <row r="165" spans="1:24" x14ac:dyDescent="0.25">
      <c r="D165" s="18"/>
      <c r="E165" s="18"/>
      <c r="G165" s="18"/>
      <c r="H165" s="18"/>
      <c r="I165" s="18"/>
      <c r="J165" s="43"/>
      <c r="K165" s="18"/>
      <c r="L165" s="18"/>
      <c r="M165" s="18"/>
      <c r="P165" s="18"/>
      <c r="Q165" s="18"/>
      <c r="R165" s="43"/>
      <c r="S165" s="18"/>
      <c r="T165" s="18"/>
      <c r="U165" s="18"/>
      <c r="V165" s="43"/>
      <c r="W165" s="18"/>
      <c r="X165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218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43018.909999999996</v>
      </c>
      <c r="E12" s="4"/>
      <c r="F12" s="12"/>
      <c r="G12" s="4"/>
      <c r="H12" s="4">
        <f>SUM(OSRRefH13x_0)</f>
        <v>49855</v>
      </c>
      <c r="I12" s="4"/>
      <c r="J12" s="12"/>
      <c r="K12" s="4"/>
      <c r="L12" s="4">
        <f t="shared" ref="L12:L33" si="0">+D12-H12</f>
        <v>-6836.0900000000038</v>
      </c>
      <c r="M12" s="4"/>
      <c r="N12" s="12">
        <f t="shared" ref="N12:N33" si="1">IF(H12=0,0,L12/H12)</f>
        <v>-0.13711944639454426</v>
      </c>
      <c r="O12" s="10"/>
      <c r="P12" s="4">
        <f>SUM(OSRRefP13x_0)</f>
        <v>251304.83</v>
      </c>
      <c r="Q12" s="4"/>
      <c r="R12" s="12"/>
      <c r="S12" s="4"/>
      <c r="T12" s="4">
        <f>SUM(OSRRefT13x_0)</f>
        <v>472405</v>
      </c>
      <c r="U12" s="4"/>
      <c r="V12" s="12"/>
      <c r="W12" s="4"/>
      <c r="X12" s="4">
        <f t="shared" ref="X12:X33" si="2">+P12-T12</f>
        <v>-221100.17</v>
      </c>
      <c r="Y12" s="4"/>
      <c r="Z12" s="12">
        <f t="shared" ref="Z12:Z33" si="3">IF(T12=0,0,X12/T12)</f>
        <v>-0.46803096918957254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-489.98</f>
        <v>-489.98</v>
      </c>
      <c r="E13" s="2"/>
      <c r="F13" s="19"/>
      <c r="G13" s="2"/>
      <c r="H13" s="2">
        <v>49855</v>
      </c>
      <c r="I13" s="2"/>
      <c r="J13" s="19"/>
      <c r="K13" s="2"/>
      <c r="L13" s="2">
        <f t="shared" si="0"/>
        <v>-50344.98</v>
      </c>
      <c r="M13" s="2"/>
      <c r="N13" s="19">
        <f t="shared" si="1"/>
        <v>-1.0098281014943336</v>
      </c>
      <c r="O13" s="11"/>
      <c r="P13" s="2">
        <f>-5992.49</f>
        <v>-5992.49</v>
      </c>
      <c r="Q13" s="2"/>
      <c r="R13" s="19"/>
      <c r="S13" s="2"/>
      <c r="T13" s="2">
        <v>472405</v>
      </c>
      <c r="U13" s="2"/>
      <c r="V13" s="19"/>
      <c r="W13" s="2"/>
      <c r="X13" s="2">
        <f t="shared" si="2"/>
        <v>-478397.49</v>
      </c>
      <c r="Y13" s="2"/>
      <c r="Z13" s="19">
        <f t="shared" si="3"/>
        <v>-1.012685068955663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--21.42</f>
        <v>21.42</v>
      </c>
      <c r="E14" s="2"/>
      <c r="F14" s="19"/>
      <c r="G14" s="2"/>
      <c r="H14" s="2"/>
      <c r="I14" s="2"/>
      <c r="J14" s="19"/>
      <c r="K14" s="2"/>
      <c r="L14" s="2">
        <f t="shared" si="0"/>
        <v>21.42</v>
      </c>
      <c r="M14" s="2"/>
      <c r="N14" s="19">
        <f t="shared" si="1"/>
        <v>0</v>
      </c>
      <c r="O14" s="11"/>
      <c r="P14" s="2">
        <f>--246.67</f>
        <v>246.67</v>
      </c>
      <c r="Q14" s="2"/>
      <c r="R14" s="19"/>
      <c r="S14" s="2"/>
      <c r="T14" s="2"/>
      <c r="U14" s="2"/>
      <c r="V14" s="19"/>
      <c r="W14" s="2"/>
      <c r="X14" s="2">
        <f t="shared" si="2"/>
        <v>246.67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--20.87</f>
        <v>20.87</v>
      </c>
      <c r="E15" s="2"/>
      <c r="F15" s="19"/>
      <c r="G15" s="2"/>
      <c r="H15" s="2"/>
      <c r="I15" s="2"/>
      <c r="J15" s="19"/>
      <c r="K15" s="2"/>
      <c r="L15" s="2">
        <f t="shared" si="0"/>
        <v>20.87</v>
      </c>
      <c r="M15" s="2"/>
      <c r="N15" s="19">
        <f t="shared" si="1"/>
        <v>0</v>
      </c>
      <c r="O15" s="11"/>
      <c r="P15" s="2">
        <f>--413.92</f>
        <v>413.92</v>
      </c>
      <c r="Q15" s="2"/>
      <c r="R15" s="19"/>
      <c r="S15" s="2"/>
      <c r="T15" s="2"/>
      <c r="U15" s="2"/>
      <c r="V15" s="19"/>
      <c r="W15" s="2"/>
      <c r="X15" s="2">
        <f t="shared" si="2"/>
        <v>413.92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--29.24</f>
        <v>29.24</v>
      </c>
      <c r="Q16" s="2"/>
      <c r="R16" s="19"/>
      <c r="S16" s="2"/>
      <c r="T16" s="2"/>
      <c r="U16" s="2"/>
      <c r="V16" s="19"/>
      <c r="W16" s="2"/>
      <c r="X16" s="2">
        <f t="shared" si="2"/>
        <v>29.24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--38261.94</f>
        <v>38261.94</v>
      </c>
      <c r="E17" s="2"/>
      <c r="F17" s="19"/>
      <c r="G17" s="2"/>
      <c r="H17" s="2"/>
      <c r="I17" s="2"/>
      <c r="J17" s="19"/>
      <c r="K17" s="2"/>
      <c r="L17" s="2">
        <f t="shared" si="0"/>
        <v>38261.94</v>
      </c>
      <c r="M17" s="2"/>
      <c r="N17" s="19">
        <f t="shared" si="1"/>
        <v>0</v>
      </c>
      <c r="O17" s="11"/>
      <c r="P17" s="2">
        <f>--211719.58</f>
        <v>211719.58</v>
      </c>
      <c r="Q17" s="2"/>
      <c r="R17" s="19"/>
      <c r="S17" s="2"/>
      <c r="T17" s="2"/>
      <c r="U17" s="2"/>
      <c r="V17" s="19"/>
      <c r="W17" s="2"/>
      <c r="X17" s="2">
        <f t="shared" si="2"/>
        <v>211719.58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--4675.99</f>
        <v>4675.99</v>
      </c>
      <c r="E18" s="2"/>
      <c r="F18" s="19"/>
      <c r="G18" s="2"/>
      <c r="H18" s="2"/>
      <c r="I18" s="2"/>
      <c r="J18" s="19"/>
      <c r="K18" s="2"/>
      <c r="L18" s="2">
        <f t="shared" si="0"/>
        <v>4675.99</v>
      </c>
      <c r="M18" s="2"/>
      <c r="N18" s="19">
        <f t="shared" si="1"/>
        <v>0</v>
      </c>
      <c r="O18" s="11"/>
      <c r="P18" s="2">
        <f>--31513.33</f>
        <v>31513.33</v>
      </c>
      <c r="Q18" s="2"/>
      <c r="R18" s="19"/>
      <c r="S18" s="2"/>
      <c r="T18" s="2"/>
      <c r="U18" s="2"/>
      <c r="V18" s="19"/>
      <c r="W18" s="2"/>
      <c r="X18" s="2">
        <f t="shared" si="2"/>
        <v>31513.33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--972.22</f>
        <v>972.22</v>
      </c>
      <c r="E19" s="2"/>
      <c r="F19" s="19"/>
      <c r="G19" s="2"/>
      <c r="H19" s="2"/>
      <c r="I19" s="2"/>
      <c r="J19" s="19"/>
      <c r="K19" s="2"/>
      <c r="L19" s="2">
        <f t="shared" si="0"/>
        <v>972.22</v>
      </c>
      <c r="M19" s="2"/>
      <c r="N19" s="19">
        <f t="shared" si="1"/>
        <v>0</v>
      </c>
      <c r="O19" s="11"/>
      <c r="P19" s="2">
        <f>--9191.25</f>
        <v>9191.25</v>
      </c>
      <c r="Q19" s="2"/>
      <c r="R19" s="19"/>
      <c r="S19" s="2"/>
      <c r="T19" s="2"/>
      <c r="U19" s="2"/>
      <c r="V19" s="19"/>
      <c r="W19" s="2"/>
      <c r="X19" s="2">
        <f t="shared" si="2"/>
        <v>9191.25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--257.35</f>
        <v>257.35000000000002</v>
      </c>
      <c r="E20" s="2"/>
      <c r="F20" s="19"/>
      <c r="G20" s="2"/>
      <c r="H20" s="2"/>
      <c r="I20" s="2"/>
      <c r="J20" s="19"/>
      <c r="K20" s="2"/>
      <c r="L20" s="2">
        <f t="shared" si="0"/>
        <v>257.35000000000002</v>
      </c>
      <c r="M20" s="2"/>
      <c r="N20" s="19">
        <f t="shared" si="1"/>
        <v>0</v>
      </c>
      <c r="O20" s="11"/>
      <c r="P20" s="2">
        <f>--10947.25</f>
        <v>10947.25</v>
      </c>
      <c r="Q20" s="2"/>
      <c r="R20" s="19"/>
      <c r="S20" s="2"/>
      <c r="T20" s="2"/>
      <c r="U20" s="2"/>
      <c r="V20" s="19"/>
      <c r="W20" s="2"/>
      <c r="X20" s="2">
        <f t="shared" si="2"/>
        <v>10947.25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--489.86</f>
        <v>489.86</v>
      </c>
      <c r="E21" s="2"/>
      <c r="F21" s="19"/>
      <c r="G21" s="2"/>
      <c r="H21" s="2"/>
      <c r="I21" s="2"/>
      <c r="J21" s="19"/>
      <c r="K21" s="2"/>
      <c r="L21" s="2">
        <f t="shared" si="0"/>
        <v>489.86</v>
      </c>
      <c r="M21" s="2"/>
      <c r="N21" s="19">
        <f t="shared" si="1"/>
        <v>0</v>
      </c>
      <c r="O21" s="11"/>
      <c r="P21" s="2">
        <f>--2801.25</f>
        <v>2801.25</v>
      </c>
      <c r="Q21" s="2"/>
      <c r="R21" s="19"/>
      <c r="S21" s="2"/>
      <c r="T21" s="2"/>
      <c r="U21" s="2"/>
      <c r="V21" s="19"/>
      <c r="W21" s="2"/>
      <c r="X21" s="2">
        <f t="shared" si="2"/>
        <v>2801.25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--326.37</f>
        <v>326.37</v>
      </c>
      <c r="Q22" s="2"/>
      <c r="R22" s="19"/>
      <c r="S22" s="2"/>
      <c r="T22" s="2"/>
      <c r="U22" s="2"/>
      <c r="V22" s="19"/>
      <c r="W22" s="2"/>
      <c r="X22" s="2">
        <f t="shared" si="2"/>
        <v>326.37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>--15</f>
        <v>15</v>
      </c>
      <c r="E23" s="2"/>
      <c r="F23" s="19"/>
      <c r="G23" s="2"/>
      <c r="H23" s="2"/>
      <c r="I23" s="2"/>
      <c r="J23" s="19"/>
      <c r="K23" s="2"/>
      <c r="L23" s="2">
        <f t="shared" si="0"/>
        <v>15</v>
      </c>
      <c r="M23" s="2"/>
      <c r="N23" s="19">
        <f t="shared" si="1"/>
        <v>0</v>
      </c>
      <c r="O23" s="11"/>
      <c r="P23" s="2">
        <f>--60</f>
        <v>60</v>
      </c>
      <c r="Q23" s="2"/>
      <c r="R23" s="19"/>
      <c r="S23" s="2"/>
      <c r="T23" s="2"/>
      <c r="U23" s="2"/>
      <c r="V23" s="19"/>
      <c r="W23" s="2"/>
      <c r="X23" s="2">
        <f t="shared" si="2"/>
        <v>60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--9</f>
        <v>9</v>
      </c>
      <c r="Q24" s="2"/>
      <c r="R24" s="19"/>
      <c r="S24" s="2"/>
      <c r="T24" s="2"/>
      <c r="U24" s="2"/>
      <c r="V24" s="19"/>
      <c r="W24" s="2"/>
      <c r="X24" s="2">
        <f t="shared" si="2"/>
        <v>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--124.85</f>
        <v>124.85</v>
      </c>
      <c r="E25" s="2"/>
      <c r="F25" s="19"/>
      <c r="G25" s="2"/>
      <c r="H25" s="2"/>
      <c r="I25" s="2"/>
      <c r="J25" s="19"/>
      <c r="K25" s="2"/>
      <c r="L25" s="2">
        <f t="shared" si="0"/>
        <v>124.85</v>
      </c>
      <c r="M25" s="2"/>
      <c r="N25" s="19">
        <f t="shared" si="1"/>
        <v>0</v>
      </c>
      <c r="O25" s="11"/>
      <c r="P25" s="2">
        <f>--324.34</f>
        <v>324.33999999999997</v>
      </c>
      <c r="Q25" s="2"/>
      <c r="R25" s="19"/>
      <c r="S25" s="2"/>
      <c r="T25" s="2"/>
      <c r="U25" s="2"/>
      <c r="V25" s="19"/>
      <c r="W25" s="2"/>
      <c r="X25" s="2">
        <f t="shared" si="2"/>
        <v>324.33999999999997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ref="D26:D28" si="4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</f>
        <v>7</v>
      </c>
      <c r="Q26" s="2"/>
      <c r="R26" s="19"/>
      <c r="S26" s="2"/>
      <c r="T26" s="2"/>
      <c r="U26" s="2"/>
      <c r="V26" s="19"/>
      <c r="W26" s="2"/>
      <c r="X26" s="2">
        <f t="shared" si="2"/>
        <v>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-27.85</f>
        <v>-27.85</v>
      </c>
      <c r="Q27" s="2"/>
      <c r="R27" s="19"/>
      <c r="S27" s="2"/>
      <c r="T27" s="2"/>
      <c r="U27" s="2"/>
      <c r="V27" s="19"/>
      <c r="W27" s="2"/>
      <c r="X27" s="2">
        <f t="shared" si="2"/>
        <v>-27.85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-43.21</f>
        <v>-43.21</v>
      </c>
      <c r="Q28" s="2"/>
      <c r="R28" s="19"/>
      <c r="S28" s="2"/>
      <c r="T28" s="2"/>
      <c r="U28" s="2"/>
      <c r="V28" s="19"/>
      <c r="W28" s="2"/>
      <c r="X28" s="2">
        <f t="shared" si="2"/>
        <v>-43.21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-1244.91</f>
        <v>-1244.9100000000001</v>
      </c>
      <c r="E29" s="2"/>
      <c r="F29" s="19"/>
      <c r="G29" s="2"/>
      <c r="H29" s="2"/>
      <c r="I29" s="2"/>
      <c r="J29" s="19"/>
      <c r="K29" s="2"/>
      <c r="L29" s="2">
        <f t="shared" si="0"/>
        <v>-1244.9100000000001</v>
      </c>
      <c r="M29" s="2"/>
      <c r="N29" s="19">
        <f t="shared" si="1"/>
        <v>0</v>
      </c>
      <c r="O29" s="11"/>
      <c r="P29" s="2">
        <f>-9196.23</f>
        <v>-9196.23</v>
      </c>
      <c r="Q29" s="2"/>
      <c r="R29" s="19"/>
      <c r="S29" s="2"/>
      <c r="T29" s="2"/>
      <c r="U29" s="2"/>
      <c r="V29" s="19"/>
      <c r="W29" s="2"/>
      <c r="X29" s="2">
        <f t="shared" si="2"/>
        <v>-9196.23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-85.7</f>
        <v>-85.7</v>
      </c>
      <c r="E30" s="2"/>
      <c r="F30" s="19"/>
      <c r="G30" s="2"/>
      <c r="H30" s="2"/>
      <c r="I30" s="2"/>
      <c r="J30" s="19"/>
      <c r="K30" s="2"/>
      <c r="L30" s="2">
        <f t="shared" si="0"/>
        <v>-85.7</v>
      </c>
      <c r="M30" s="2"/>
      <c r="N30" s="19">
        <f t="shared" si="1"/>
        <v>0</v>
      </c>
      <c r="O30" s="11"/>
      <c r="P30" s="2">
        <f>-648.65</f>
        <v>-648.65</v>
      </c>
      <c r="Q30" s="2"/>
      <c r="R30" s="19"/>
      <c r="S30" s="2"/>
      <c r="T30" s="2"/>
      <c r="U30" s="2"/>
      <c r="V30" s="19"/>
      <c r="W30" s="2"/>
      <c r="X30" s="2">
        <f t="shared" si="2"/>
        <v>-648.65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 t="shared" ref="D31:D33" si="5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-326.06</f>
        <v>-326.06</v>
      </c>
      <c r="Q31" s="2"/>
      <c r="R31" s="19"/>
      <c r="S31" s="2"/>
      <c r="T31" s="2"/>
      <c r="U31" s="2"/>
      <c r="V31" s="19"/>
      <c r="W31" s="2"/>
      <c r="X31" s="2">
        <f t="shared" si="2"/>
        <v>-326.06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-42.88</f>
        <v>-42.88</v>
      </c>
      <c r="Q32" s="2"/>
      <c r="R32" s="19"/>
      <c r="S32" s="2"/>
      <c r="T32" s="2"/>
      <c r="U32" s="2"/>
      <c r="V32" s="19"/>
      <c r="W32" s="2"/>
      <c r="X32" s="2">
        <f t="shared" si="2"/>
        <v>-42.88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-7</f>
        <v>-7</v>
      </c>
      <c r="Q33" s="2"/>
      <c r="R33" s="19"/>
      <c r="S33" s="2"/>
      <c r="T33" s="2"/>
      <c r="U33" s="2"/>
      <c r="V33" s="19"/>
      <c r="W33" s="2"/>
      <c r="X33" s="2">
        <f t="shared" si="2"/>
        <v>-7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257</v>
      </c>
      <c r="C35" s="10"/>
      <c r="D35" s="4">
        <f>SUM(OSRRefD16x_0)</f>
        <v>17435</v>
      </c>
      <c r="E35" s="4"/>
      <c r="F35" s="12">
        <f t="shared" ref="F35:F42" si="6">IF(D$12=0,0,D35/D$12)</f>
        <v>0.4052868843027404</v>
      </c>
      <c r="G35" s="4"/>
      <c r="H35" s="4">
        <f>SUM(OSRRefH16x_0)</f>
        <v>21438</v>
      </c>
      <c r="I35" s="4"/>
      <c r="J35" s="12">
        <f t="shared" ref="J35:J42" si="7">IF(H$12=0,0,H35/H$12)</f>
        <v>0.4300070203590412</v>
      </c>
      <c r="K35" s="4"/>
      <c r="L35" s="4">
        <f t="shared" ref="L35:L42" si="8">+D35-H35</f>
        <v>-4003</v>
      </c>
      <c r="M35" s="4"/>
      <c r="N35" s="12">
        <f t="shared" ref="N35:N42" si="9">IF(H35=0,0,L35/H35)</f>
        <v>-0.18672450788319805</v>
      </c>
      <c r="O35" s="10"/>
      <c r="P35" s="4">
        <f>SUM(OSRRefP16x_0)</f>
        <v>110530</v>
      </c>
      <c r="Q35" s="4"/>
      <c r="R35" s="12">
        <f t="shared" ref="R35:R42" si="10">IF(P$12=0,0,P35/P$12)</f>
        <v>0.43982441563100877</v>
      </c>
      <c r="S35" s="4"/>
      <c r="T35" s="4">
        <f>SUM(OSRRefT16x_0)</f>
        <v>203133</v>
      </c>
      <c r="U35" s="4"/>
      <c r="V35" s="12">
        <f t="shared" ref="V35:V42" si="11">IF(T$12=0,0,T35/T$12)</f>
        <v>0.42999756564811975</v>
      </c>
      <c r="W35" s="4"/>
      <c r="X35" s="4">
        <f t="shared" ref="X35:X42" si="12">+P35-T35</f>
        <v>-92603</v>
      </c>
      <c r="Y35" s="4"/>
      <c r="Z35" s="12">
        <f t="shared" ref="Z35:Z42" si="13">IF(T35=0,0,X35/T35)</f>
        <v>-0.45587373789586133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6"/>
        <v>0</v>
      </c>
      <c r="G36" s="2"/>
      <c r="H36" s="2">
        <v>21438</v>
      </c>
      <c r="I36" s="2"/>
      <c r="J36" s="19">
        <f t="shared" si="7"/>
        <v>0.4300070203590412</v>
      </c>
      <c r="K36" s="2"/>
      <c r="L36" s="2">
        <f t="shared" si="8"/>
        <v>-21438</v>
      </c>
      <c r="M36" s="2"/>
      <c r="N36" s="19">
        <f t="shared" si="9"/>
        <v>-1</v>
      </c>
      <c r="O36" s="11"/>
      <c r="P36" s="2"/>
      <c r="Q36" s="2"/>
      <c r="R36" s="19">
        <f t="shared" si="10"/>
        <v>0</v>
      </c>
      <c r="S36" s="2"/>
      <c r="T36" s="2">
        <v>203133</v>
      </c>
      <c r="U36" s="2"/>
      <c r="V36" s="19">
        <f t="shared" si="11"/>
        <v>0.42999756564811975</v>
      </c>
      <c r="W36" s="2"/>
      <c r="X36" s="2">
        <f t="shared" si="12"/>
        <v>-203133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207.6</v>
      </c>
      <c r="Q38" s="2"/>
      <c r="R38" s="19">
        <f t="shared" si="10"/>
        <v>8.2608838039443968E-4</v>
      </c>
      <c r="S38" s="2"/>
      <c r="T38" s="2"/>
      <c r="U38" s="2"/>
      <c r="V38" s="19">
        <f t="shared" si="11"/>
        <v>0</v>
      </c>
      <c r="W38" s="2"/>
      <c r="X38" s="2">
        <f t="shared" si="12"/>
        <v>207.6</v>
      </c>
      <c r="Y38" s="2"/>
      <c r="Z38" s="19">
        <f t="shared" si="13"/>
        <v>0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7946.04</v>
      </c>
      <c r="Q39" s="2"/>
      <c r="R39" s="19">
        <f t="shared" si="10"/>
        <v>3.1619129644265095E-2</v>
      </c>
      <c r="S39" s="2"/>
      <c r="T39" s="2"/>
      <c r="U39" s="2"/>
      <c r="V39" s="19">
        <f t="shared" si="11"/>
        <v>0</v>
      </c>
      <c r="W39" s="2"/>
      <c r="X39" s="2">
        <f t="shared" si="12"/>
        <v>7946.04</v>
      </c>
      <c r="Y39" s="2"/>
      <c r="Z39" s="19">
        <f t="shared" si="13"/>
        <v>0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13.21</v>
      </c>
      <c r="Q40" s="2"/>
      <c r="R40" s="19">
        <f t="shared" si="10"/>
        <v>5.2565643087719411E-5</v>
      </c>
      <c r="S40" s="2"/>
      <c r="T40" s="2"/>
      <c r="U40" s="2"/>
      <c r="V40" s="19">
        <f t="shared" si="11"/>
        <v>0</v>
      </c>
      <c r="W40" s="2"/>
      <c r="X40" s="2">
        <f t="shared" si="12"/>
        <v>13.21</v>
      </c>
      <c r="Y40" s="2"/>
      <c r="Z40" s="19">
        <f t="shared" si="13"/>
        <v>0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/>
      <c r="E41" s="2"/>
      <c r="F41" s="19">
        <f t="shared" si="6"/>
        <v>0</v>
      </c>
      <c r="G41" s="2"/>
      <c r="H41" s="2"/>
      <c r="I41" s="2"/>
      <c r="J41" s="19">
        <f t="shared" si="7"/>
        <v>0</v>
      </c>
      <c r="K41" s="2"/>
      <c r="L41" s="2">
        <f t="shared" si="8"/>
        <v>0</v>
      </c>
      <c r="M41" s="2"/>
      <c r="N41" s="19">
        <f t="shared" si="9"/>
        <v>0</v>
      </c>
      <c r="O41" s="11"/>
      <c r="P41" s="2">
        <v>-8166.85</v>
      </c>
      <c r="Q41" s="2"/>
      <c r="R41" s="19">
        <f t="shared" si="10"/>
        <v>-3.2497783667747256E-2</v>
      </c>
      <c r="S41" s="2"/>
      <c r="T41" s="2"/>
      <c r="U41" s="2"/>
      <c r="V41" s="19">
        <f t="shared" si="11"/>
        <v>0</v>
      </c>
      <c r="W41" s="2"/>
      <c r="X41" s="2">
        <f t="shared" si="12"/>
        <v>-8166.85</v>
      </c>
      <c r="Y41" s="2"/>
      <c r="Z41" s="19">
        <f t="shared" si="13"/>
        <v>0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17435</v>
      </c>
      <c r="E42" s="2"/>
      <c r="F42" s="19">
        <f t="shared" si="6"/>
        <v>0.4052868843027404</v>
      </c>
      <c r="G42" s="2"/>
      <c r="H42" s="2"/>
      <c r="I42" s="2"/>
      <c r="J42" s="19">
        <f t="shared" si="7"/>
        <v>0</v>
      </c>
      <c r="K42" s="2"/>
      <c r="L42" s="2">
        <f t="shared" si="8"/>
        <v>17435</v>
      </c>
      <c r="M42" s="2"/>
      <c r="N42" s="19">
        <f t="shared" si="9"/>
        <v>0</v>
      </c>
      <c r="O42" s="11"/>
      <c r="P42" s="2">
        <v>110530</v>
      </c>
      <c r="Q42" s="2"/>
      <c r="R42" s="19">
        <f t="shared" si="10"/>
        <v>0.43982441563100877</v>
      </c>
      <c r="S42" s="2"/>
      <c r="T42" s="2"/>
      <c r="U42" s="2"/>
      <c r="V42" s="19">
        <f t="shared" si="11"/>
        <v>0</v>
      </c>
      <c r="W42" s="2"/>
      <c r="X42" s="2">
        <f t="shared" si="12"/>
        <v>110530</v>
      </c>
      <c r="Y42" s="2"/>
      <c r="Z42" s="19">
        <f t="shared" si="13"/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8" t="s">
        <v>108</v>
      </c>
      <c r="C44" s="28"/>
      <c r="D44" s="21">
        <f>D12-D35</f>
        <v>25583.909999999996</v>
      </c>
      <c r="E44" s="14"/>
      <c r="F44" s="20">
        <f>IF(D$12=0,0,D44/D$12)</f>
        <v>0.5947131156972596</v>
      </c>
      <c r="G44" s="14"/>
      <c r="H44" s="21">
        <f>H12-H35</f>
        <v>28417</v>
      </c>
      <c r="I44" s="14"/>
      <c r="J44" s="20">
        <f>IF(H$12=0,0,H44/H$12)</f>
        <v>0.56999297964095874</v>
      </c>
      <c r="K44" s="16"/>
      <c r="L44" s="21">
        <f>+D44-H44</f>
        <v>-2833.0900000000038</v>
      </c>
      <c r="M44" s="16"/>
      <c r="N44" s="20">
        <f>IF(H44=0,0,L44/H44)</f>
        <v>-9.9697012351761399E-2</v>
      </c>
      <c r="O44" s="29"/>
      <c r="P44" s="21">
        <f>P12-P35</f>
        <v>140774.82999999999</v>
      </c>
      <c r="Q44" s="14"/>
      <c r="R44" s="20">
        <f>IF(P$12=0,0,P44/P$12)</f>
        <v>0.56017558436899118</v>
      </c>
      <c r="S44" s="14"/>
      <c r="T44" s="21">
        <f>T12-T35</f>
        <v>269272</v>
      </c>
      <c r="U44" s="14"/>
      <c r="V44" s="20">
        <f>IF(T$12=0,0,T44/T$12)</f>
        <v>0.57000243435188025</v>
      </c>
      <c r="W44" s="16"/>
      <c r="X44" s="21">
        <f>+P44-T44</f>
        <v>-128497.17000000001</v>
      </c>
      <c r="Y44" s="16"/>
      <c r="Z44" s="20">
        <f>IF(T44=0,0,X44/T44)</f>
        <v>-0.47720212276062873</v>
      </c>
    </row>
    <row r="45" spans="1:26" x14ac:dyDescent="0.25">
      <c r="A45" s="9"/>
      <c r="B45" s="10"/>
      <c r="C45" s="9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6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9" t="s">
        <v>295</v>
      </c>
      <c r="C46" s="10"/>
      <c r="D46" s="22">
        <f>SUM(OSRRefD22x_0)</f>
        <v>24362.67</v>
      </c>
      <c r="E46" s="22"/>
      <c r="F46" s="32">
        <f t="shared" ref="F46:F56" si="14">IF(D$12=0,0,D46/D$12)</f>
        <v>0.56632466977894136</v>
      </c>
      <c r="G46" s="22"/>
      <c r="H46" s="22">
        <f>SUM(OSRRefH22x_0)</f>
        <v>27782.223452307691</v>
      </c>
      <c r="I46" s="22"/>
      <c r="J46" s="32">
        <f t="shared" ref="J46:J56" si="15">IF(H$12=0,0,H46/H$12)</f>
        <v>0.55726052456739927</v>
      </c>
      <c r="K46" s="4"/>
      <c r="L46" s="22">
        <f t="shared" ref="L46:L56" si="16">+D46-H46</f>
        <v>-3419.5534523076931</v>
      </c>
      <c r="M46" s="4"/>
      <c r="N46" s="32">
        <f t="shared" ref="N46:N56" si="17">IF(H46=0,0,L46/H46)</f>
        <v>-0.1230842253564717</v>
      </c>
      <c r="O46" s="10"/>
      <c r="P46" s="22">
        <f>SUM(OSRRefP22x_0)</f>
        <v>217150.51</v>
      </c>
      <c r="Q46" s="22"/>
      <c r="R46" s="32">
        <f t="shared" ref="R46:R56" si="18">IF(P$12=0,0,P46/P$12)</f>
        <v>0.86409206699290264</v>
      </c>
      <c r="S46" s="22"/>
      <c r="T46" s="22">
        <f>SUM(OSRRefT22x_0)</f>
        <v>261664.13072830765</v>
      </c>
      <c r="U46" s="22"/>
      <c r="V46" s="32">
        <f t="shared" ref="V46:V56" si="19">IF(T$12=0,0,T46/T$12)</f>
        <v>0.55389788577239374</v>
      </c>
      <c r="W46" s="4"/>
      <c r="X46" s="22">
        <f t="shared" ref="X46:X56" si="20">+P46-T46</f>
        <v>-44513.620728307636</v>
      </c>
      <c r="Y46" s="4"/>
      <c r="Z46" s="32">
        <f t="shared" ref="Z46:Z56" si="21">IF(T46=0,0,X46/T46)</f>
        <v>-0.17011739669632914</v>
      </c>
    </row>
    <row r="47" spans="1:26" s="25" customFormat="1" outlineLevel="1" collapsed="1" x14ac:dyDescent="0.25">
      <c r="A47" s="27"/>
      <c r="B47" s="13" t="str">
        <f>CONCATENATE("     ","*Benefits                                         ")</f>
        <v xml:space="preserve">     *Benefits                                         </v>
      </c>
      <c r="C47" s="13"/>
      <c r="D47" s="1">
        <f>SUM(OSRRefD22_0x_0)</f>
        <v>4210.9799999999996</v>
      </c>
      <c r="E47" s="1"/>
      <c r="F47" s="5">
        <f t="shared" si="14"/>
        <v>9.7886720049392237E-2</v>
      </c>
      <c r="G47" s="1"/>
      <c r="H47" s="1">
        <f>SUM(OSRRefH22_0x_0)</f>
        <v>2393.6272984615389</v>
      </c>
      <c r="I47" s="1"/>
      <c r="J47" s="5">
        <f t="shared" si="15"/>
        <v>4.8011780131612454E-2</v>
      </c>
      <c r="K47" s="1"/>
      <c r="L47" s="1">
        <f t="shared" si="16"/>
        <v>1817.3527015384607</v>
      </c>
      <c r="M47" s="1"/>
      <c r="N47" s="5">
        <f t="shared" si="17"/>
        <v>0.75924631320278291</v>
      </c>
      <c r="O47" s="13"/>
      <c r="P47" s="1">
        <f>SUM(OSRRefP22_0x_0)</f>
        <v>47489.73000000001</v>
      </c>
      <c r="Q47" s="1"/>
      <c r="R47" s="5">
        <f t="shared" si="18"/>
        <v>0.18897261146950503</v>
      </c>
      <c r="S47" s="1"/>
      <c r="T47" s="1">
        <f>SUM(OSRRefT22_0x_0)</f>
        <v>23253.884574461543</v>
      </c>
      <c r="U47" s="1"/>
      <c r="V47" s="5">
        <f t="shared" si="19"/>
        <v>4.9224467510846713E-2</v>
      </c>
      <c r="W47" s="1"/>
      <c r="X47" s="1">
        <f t="shared" si="20"/>
        <v>24235.845425538468</v>
      </c>
      <c r="Y47" s="1"/>
      <c r="Z47" s="5">
        <f t="shared" si="21"/>
        <v>1.042227819955525</v>
      </c>
    </row>
    <row r="48" spans="1:26" s="24" customFormat="1" hidden="1" outlineLevel="2" x14ac:dyDescent="0.25">
      <c r="A48" s="26"/>
      <c r="B48" s="11" t="str">
        <f>CONCATENATE("          ", "6111", " - ", "F.I.C.A.")</f>
        <v xml:space="preserve">          6111 - F.I.C.A.</v>
      </c>
      <c r="C48" s="11"/>
      <c r="D48" s="7">
        <v>764.89</v>
      </c>
      <c r="E48" s="2"/>
      <c r="F48" s="6">
        <f t="shared" si="14"/>
        <v>1.7780320328897224E-2</v>
      </c>
      <c r="G48" s="2"/>
      <c r="H48" s="7">
        <v>354.13374461538501</v>
      </c>
      <c r="I48" s="2"/>
      <c r="J48" s="6">
        <f t="shared" si="15"/>
        <v>7.1032743880329961E-3</v>
      </c>
      <c r="K48" s="2"/>
      <c r="L48" s="7">
        <f t="shared" si="16"/>
        <v>410.75625538461497</v>
      </c>
      <c r="M48" s="2"/>
      <c r="N48" s="6">
        <f t="shared" si="17"/>
        <v>1.1598901873379113</v>
      </c>
      <c r="O48" s="11"/>
      <c r="P48" s="7">
        <v>6862.14</v>
      </c>
      <c r="Q48" s="2"/>
      <c r="R48" s="6">
        <f t="shared" si="18"/>
        <v>2.7306041033910891E-2</v>
      </c>
      <c r="S48" s="2"/>
      <c r="T48" s="7">
        <v>3988.63528061539</v>
      </c>
      <c r="U48" s="2"/>
      <c r="V48" s="6">
        <f t="shared" si="19"/>
        <v>8.4432537348575684E-3</v>
      </c>
      <c r="W48" s="2"/>
      <c r="X48" s="7">
        <f t="shared" si="20"/>
        <v>2873.5047193846103</v>
      </c>
      <c r="Y48" s="2"/>
      <c r="Z48" s="6">
        <f t="shared" si="21"/>
        <v>0.72042303124322493</v>
      </c>
    </row>
    <row r="49" spans="1:26" s="24" customFormat="1" hidden="1" outlineLevel="2" x14ac:dyDescent="0.25">
      <c r="A49" s="26"/>
      <c r="B49" s="11" t="str">
        <f>CONCATENATE("          ", "6112", " - ", "COMPENSATION INSURANCE")</f>
        <v xml:space="preserve">          6112 - COMPENSATION INSURANCE</v>
      </c>
      <c r="C49" s="11"/>
      <c r="D49" s="7">
        <v>118.89</v>
      </c>
      <c r="E49" s="2"/>
      <c r="F49" s="6">
        <f t="shared" si="14"/>
        <v>2.7636683495699918E-3</v>
      </c>
      <c r="G49" s="2"/>
      <c r="H49" s="7">
        <v>213.66361538461501</v>
      </c>
      <c r="I49" s="2"/>
      <c r="J49" s="6">
        <f t="shared" si="15"/>
        <v>4.2857008401286732E-3</v>
      </c>
      <c r="K49" s="2"/>
      <c r="L49" s="7">
        <f t="shared" si="16"/>
        <v>-94.773615384615013</v>
      </c>
      <c r="M49" s="2"/>
      <c r="N49" s="6">
        <f t="shared" si="17"/>
        <v>-0.44356459668630716</v>
      </c>
      <c r="O49" s="11"/>
      <c r="P49" s="7">
        <v>2192.7399999999998</v>
      </c>
      <c r="Q49" s="2"/>
      <c r="R49" s="6">
        <f t="shared" si="18"/>
        <v>8.725419244827089E-3</v>
      </c>
      <c r="S49" s="2"/>
      <c r="T49" s="7">
        <v>1832.4765153846099</v>
      </c>
      <c r="U49" s="2"/>
      <c r="V49" s="6">
        <f t="shared" si="19"/>
        <v>3.8790370876358418E-3</v>
      </c>
      <c r="W49" s="2"/>
      <c r="X49" s="7">
        <f t="shared" si="20"/>
        <v>360.26348461538987</v>
      </c>
      <c r="Y49" s="2"/>
      <c r="Z49" s="6">
        <f t="shared" si="21"/>
        <v>0.19659923692925246</v>
      </c>
    </row>
    <row r="50" spans="1:26" s="24" customFormat="1" hidden="1" outlineLevel="2" x14ac:dyDescent="0.25">
      <c r="A50" s="26"/>
      <c r="B50" s="11" t="str">
        <f>CONCATENATE("          ", "6113", " - ", "GROUP INSURANCE")</f>
        <v xml:space="preserve">          6113 - GROUP INSURANCE</v>
      </c>
      <c r="C50" s="11"/>
      <c r="D50" s="7">
        <v>1998.43</v>
      </c>
      <c r="E50" s="2"/>
      <c r="F50" s="6">
        <f t="shared" si="14"/>
        <v>4.6454687020196471E-2</v>
      </c>
      <c r="G50" s="2"/>
      <c r="H50" s="7">
        <v>990</v>
      </c>
      <c r="I50" s="2"/>
      <c r="J50" s="6">
        <f t="shared" si="15"/>
        <v>1.9857587002306689E-2</v>
      </c>
      <c r="K50" s="2"/>
      <c r="L50" s="7">
        <f t="shared" si="16"/>
        <v>1008.4300000000001</v>
      </c>
      <c r="M50" s="2"/>
      <c r="N50" s="6">
        <f t="shared" si="17"/>
        <v>1.0186161616161618</v>
      </c>
      <c r="O50" s="11"/>
      <c r="P50" s="7">
        <v>24287.33</v>
      </c>
      <c r="Q50" s="2"/>
      <c r="R50" s="6">
        <f t="shared" si="18"/>
        <v>9.664489934395612E-2</v>
      </c>
      <c r="S50" s="2"/>
      <c r="T50" s="7">
        <v>9900</v>
      </c>
      <c r="U50" s="2"/>
      <c r="V50" s="6">
        <f t="shared" si="19"/>
        <v>2.0956594447560886E-2</v>
      </c>
      <c r="W50" s="2"/>
      <c r="X50" s="7">
        <f t="shared" si="20"/>
        <v>14387.330000000002</v>
      </c>
      <c r="Y50" s="2"/>
      <c r="Z50" s="6">
        <f t="shared" si="21"/>
        <v>1.4532656565656568</v>
      </c>
    </row>
    <row r="51" spans="1:26" s="24" customFormat="1" hidden="1" outlineLevel="2" x14ac:dyDescent="0.25">
      <c r="A51" s="26"/>
      <c r="B51" s="11" t="str">
        <f>CONCATENATE("          ", "6114", " - ", "STATE UNEMPLOYMENT INSURANCE")</f>
        <v xml:space="preserve">          6114 - STATE UNEMPLOYMENT INSURANCE</v>
      </c>
      <c r="C51" s="11"/>
      <c r="D51" s="7">
        <v>16.71</v>
      </c>
      <c r="E51" s="2"/>
      <c r="F51" s="6">
        <f t="shared" si="14"/>
        <v>3.8843383061077101E-4</v>
      </c>
      <c r="G51" s="2"/>
      <c r="H51" s="7">
        <v>30.028400000000001</v>
      </c>
      <c r="I51" s="2"/>
      <c r="J51" s="6">
        <f t="shared" si="15"/>
        <v>6.0231471266673352E-4</v>
      </c>
      <c r="K51" s="2"/>
      <c r="L51" s="7">
        <f t="shared" si="16"/>
        <v>-13.3184</v>
      </c>
      <c r="M51" s="2"/>
      <c r="N51" s="6">
        <f t="shared" si="17"/>
        <v>-0.44352679463441275</v>
      </c>
      <c r="O51" s="11"/>
      <c r="P51" s="7">
        <v>281.83</v>
      </c>
      <c r="Q51" s="2"/>
      <c r="R51" s="6">
        <f t="shared" si="18"/>
        <v>1.1214667063900044E-3</v>
      </c>
      <c r="S51" s="2"/>
      <c r="T51" s="7">
        <v>257.53724</v>
      </c>
      <c r="U51" s="2"/>
      <c r="V51" s="6">
        <f t="shared" si="19"/>
        <v>5.4516196907314698E-4</v>
      </c>
      <c r="W51" s="2"/>
      <c r="X51" s="7">
        <f t="shared" si="20"/>
        <v>24.292759999999987</v>
      </c>
      <c r="Y51" s="2"/>
      <c r="Z51" s="6">
        <f t="shared" si="21"/>
        <v>9.4327173809892459E-2</v>
      </c>
    </row>
    <row r="52" spans="1:26" s="24" customFormat="1" hidden="1" outlineLevel="2" x14ac:dyDescent="0.25">
      <c r="A52" s="26"/>
      <c r="B52" s="11" t="str">
        <f>CONCATENATE("          ", "6115", " - ", "P.E.R.S.")</f>
        <v xml:space="preserve">          6115 - P.E.R.S.</v>
      </c>
      <c r="C52" s="11"/>
      <c r="D52" s="7">
        <v>362.12</v>
      </c>
      <c r="E52" s="2"/>
      <c r="F52" s="6">
        <f t="shared" si="14"/>
        <v>8.4176935212909865E-3</v>
      </c>
      <c r="G52" s="2"/>
      <c r="H52" s="7">
        <v>251.79807692307699</v>
      </c>
      <c r="I52" s="2"/>
      <c r="J52" s="6">
        <f t="shared" si="15"/>
        <v>5.0506083025389026E-3</v>
      </c>
      <c r="K52" s="2"/>
      <c r="L52" s="7">
        <f t="shared" si="16"/>
        <v>110.32192307692301</v>
      </c>
      <c r="M52" s="2"/>
      <c r="N52" s="6">
        <f t="shared" si="17"/>
        <v>0.4381364799327907</v>
      </c>
      <c r="O52" s="11"/>
      <c r="P52" s="7">
        <v>3856.57</v>
      </c>
      <c r="Q52" s="2"/>
      <c r="R52" s="6">
        <f t="shared" si="18"/>
        <v>1.5346183358274493E-2</v>
      </c>
      <c r="S52" s="2"/>
      <c r="T52" s="7">
        <v>2215.82307692308</v>
      </c>
      <c r="U52" s="2"/>
      <c r="V52" s="6">
        <f t="shared" si="19"/>
        <v>4.6905157162245954E-3</v>
      </c>
      <c r="W52" s="2"/>
      <c r="X52" s="7">
        <f t="shared" si="20"/>
        <v>1640.7469230769202</v>
      </c>
      <c r="Y52" s="2"/>
      <c r="Z52" s="6">
        <f t="shared" si="21"/>
        <v>0.7404683795221062</v>
      </c>
    </row>
    <row r="53" spans="1:26" s="24" customFormat="1" hidden="1" outlineLevel="2" x14ac:dyDescent="0.25">
      <c r="A53" s="26"/>
      <c r="B53" s="11" t="str">
        <f>CONCATENATE("          ", "6116", " - ", "EDUCATIONAL BENEFITS")</f>
        <v xml:space="preserve">          6116 - EDUCATIONAL BENEFITS</v>
      </c>
      <c r="C53" s="11"/>
      <c r="D53" s="7"/>
      <c r="E53" s="2"/>
      <c r="F53" s="6">
        <f t="shared" si="14"/>
        <v>0</v>
      </c>
      <c r="G53" s="2"/>
      <c r="H53" s="7">
        <v>0</v>
      </c>
      <c r="I53" s="2"/>
      <c r="J53" s="6">
        <f t="shared" si="15"/>
        <v>0</v>
      </c>
      <c r="K53" s="2"/>
      <c r="L53" s="7">
        <f t="shared" si="16"/>
        <v>0</v>
      </c>
      <c r="M53" s="2"/>
      <c r="N53" s="6">
        <f t="shared" si="17"/>
        <v>0</v>
      </c>
      <c r="O53" s="11"/>
      <c r="P53" s="7"/>
      <c r="Q53" s="2"/>
      <c r="R53" s="6">
        <f t="shared" si="18"/>
        <v>0</v>
      </c>
      <c r="S53" s="2"/>
      <c r="T53" s="7">
        <v>0</v>
      </c>
      <c r="U53" s="2"/>
      <c r="V53" s="6">
        <f t="shared" si="19"/>
        <v>0</v>
      </c>
      <c r="W53" s="2"/>
      <c r="X53" s="7">
        <f t="shared" si="20"/>
        <v>0</v>
      </c>
      <c r="Y53" s="2"/>
      <c r="Z53" s="6">
        <f t="shared" si="21"/>
        <v>0</v>
      </c>
    </row>
    <row r="54" spans="1:26" s="24" customFormat="1" hidden="1" outlineLevel="2" x14ac:dyDescent="0.25">
      <c r="A54" s="26"/>
      <c r="B54" s="11" t="str">
        <f>CONCATENATE("          ", "6118", " - ", "VACATION")</f>
        <v xml:space="preserve">          6118 - VACATION</v>
      </c>
      <c r="C54" s="11"/>
      <c r="D54" s="7">
        <v>513.84</v>
      </c>
      <c r="E54" s="2"/>
      <c r="F54" s="6">
        <f t="shared" si="14"/>
        <v>1.1944514633215953E-2</v>
      </c>
      <c r="G54" s="2"/>
      <c r="H54" s="7">
        <v>146.394230769231</v>
      </c>
      <c r="I54" s="2"/>
      <c r="J54" s="6">
        <f t="shared" si="15"/>
        <v>2.9364001758947146E-3</v>
      </c>
      <c r="K54" s="2"/>
      <c r="L54" s="7">
        <f t="shared" si="16"/>
        <v>367.44576923076903</v>
      </c>
      <c r="M54" s="2"/>
      <c r="N54" s="6">
        <f t="shared" si="17"/>
        <v>2.5099743842364477</v>
      </c>
      <c r="O54" s="11"/>
      <c r="P54" s="7">
        <v>4783.46</v>
      </c>
      <c r="Q54" s="2"/>
      <c r="R54" s="6">
        <f t="shared" si="18"/>
        <v>1.9034492890566409E-2</v>
      </c>
      <c r="S54" s="2"/>
      <c r="T54" s="7">
        <v>1288.26923076923</v>
      </c>
      <c r="U54" s="2"/>
      <c r="V54" s="6">
        <f t="shared" si="19"/>
        <v>2.727044021060806E-3</v>
      </c>
      <c r="W54" s="2"/>
      <c r="X54" s="7">
        <f t="shared" si="20"/>
        <v>3495.19076923077</v>
      </c>
      <c r="Y54" s="2"/>
      <c r="Z54" s="6">
        <f t="shared" si="21"/>
        <v>2.7130903119868659</v>
      </c>
    </row>
    <row r="55" spans="1:26" s="24" customFormat="1" hidden="1" outlineLevel="2" x14ac:dyDescent="0.25">
      <c r="A55" s="26"/>
      <c r="B55" s="11" t="str">
        <f>CONCATENATE("          ", "6119", " - ", "SICK LEAVE")</f>
        <v xml:space="preserve">          6119 - SICK LEAVE</v>
      </c>
      <c r="C55" s="11"/>
      <c r="D55" s="7">
        <v>324.12</v>
      </c>
      <c r="E55" s="2"/>
      <c r="F55" s="6">
        <f t="shared" si="14"/>
        <v>7.5343610519187964E-3</v>
      </c>
      <c r="G55" s="2"/>
      <c r="H55" s="7">
        <v>232.609230769231</v>
      </c>
      <c r="I55" s="2"/>
      <c r="J55" s="6">
        <f t="shared" si="15"/>
        <v>4.6657151894339789E-3</v>
      </c>
      <c r="K55" s="2"/>
      <c r="L55" s="7">
        <f t="shared" si="16"/>
        <v>91.510769230769</v>
      </c>
      <c r="M55" s="2"/>
      <c r="N55" s="6">
        <f t="shared" si="17"/>
        <v>0.39340987856821469</v>
      </c>
      <c r="O55" s="11"/>
      <c r="P55" s="7">
        <v>3767.87</v>
      </c>
      <c r="Q55" s="2"/>
      <c r="R55" s="6">
        <f t="shared" si="18"/>
        <v>1.499322555798072E-2</v>
      </c>
      <c r="S55" s="2"/>
      <c r="T55" s="7">
        <v>2021.1432307692301</v>
      </c>
      <c r="U55" s="2"/>
      <c r="V55" s="6">
        <f t="shared" si="19"/>
        <v>4.2784120209761328E-3</v>
      </c>
      <c r="W55" s="2"/>
      <c r="X55" s="7">
        <f t="shared" si="20"/>
        <v>1746.7267692307698</v>
      </c>
      <c r="Y55" s="2"/>
      <c r="Z55" s="6">
        <f t="shared" si="21"/>
        <v>0.86422710802439284</v>
      </c>
    </row>
    <row r="56" spans="1:26" s="24" customFormat="1" hidden="1" outlineLevel="2" x14ac:dyDescent="0.25">
      <c r="A56" s="26"/>
      <c r="B56" s="11" t="str">
        <f>CONCATENATE("          ", "6156", " - ", "EMPLOYEE MEALS")</f>
        <v xml:space="preserve">          6156 - EMPLOYEE MEALS</v>
      </c>
      <c r="C56" s="11"/>
      <c r="D56" s="7">
        <v>111.98</v>
      </c>
      <c r="E56" s="2"/>
      <c r="F56" s="6">
        <f t="shared" si="14"/>
        <v>2.6030413136920488E-3</v>
      </c>
      <c r="G56" s="2"/>
      <c r="H56" s="7">
        <v>175</v>
      </c>
      <c r="I56" s="2"/>
      <c r="J56" s="6">
        <f t="shared" si="15"/>
        <v>3.5101795206097684E-3</v>
      </c>
      <c r="K56" s="2"/>
      <c r="L56" s="7">
        <f t="shared" si="16"/>
        <v>-63.019999999999996</v>
      </c>
      <c r="M56" s="2"/>
      <c r="N56" s="6">
        <f t="shared" si="17"/>
        <v>-0.36011428571428566</v>
      </c>
      <c r="O56" s="11"/>
      <c r="P56" s="7">
        <v>1457.79</v>
      </c>
      <c r="Q56" s="2"/>
      <c r="R56" s="6">
        <f t="shared" si="18"/>
        <v>5.800883333599279E-3</v>
      </c>
      <c r="S56" s="2"/>
      <c r="T56" s="7">
        <v>1750</v>
      </c>
      <c r="U56" s="2"/>
      <c r="V56" s="6">
        <f t="shared" si="19"/>
        <v>3.7044485134577324E-3</v>
      </c>
      <c r="W56" s="2"/>
      <c r="X56" s="7">
        <f t="shared" si="20"/>
        <v>-292.21000000000004</v>
      </c>
      <c r="Y56" s="2"/>
      <c r="Z56" s="6">
        <f t="shared" si="21"/>
        <v>-0.16697714285714288</v>
      </c>
    </row>
    <row r="57" spans="1:26" s="25" customFormat="1" outlineLevel="1" collapsed="1" x14ac:dyDescent="0.25">
      <c r="A57" s="27"/>
      <c r="B57" s="13" t="str">
        <f>CONCATENATE("     ","*Payroll                                          ")</f>
        <v xml:space="preserve">     *Payroll                                          </v>
      </c>
      <c r="C57" s="13"/>
      <c r="D57" s="1">
        <f>SUM(OSRRefD22_1x_0)</f>
        <v>8738.17</v>
      </c>
      <c r="E57" s="1"/>
      <c r="F57" s="5">
        <f t="shared" ref="F57:F67" si="22">IF(D$12=0,0,D57/D$12)</f>
        <v>0.20312392852352606</v>
      </c>
      <c r="G57" s="1"/>
      <c r="H57" s="1">
        <f>SUM(OSRRefH22_1x_0)</f>
        <v>11256.596153846151</v>
      </c>
      <c r="I57" s="1"/>
      <c r="J57" s="5">
        <f t="shared" ref="J57:J67" si="23">IF(H$12=0,0,H57/H$12)</f>
        <v>0.22578670452003111</v>
      </c>
      <c r="K57" s="1"/>
      <c r="L57" s="1">
        <f t="shared" ref="L57:L67" si="24">+D57-H57</f>
        <v>-2518.4261538461506</v>
      </c>
      <c r="M57" s="1"/>
      <c r="N57" s="5">
        <f t="shared" ref="N57:N67" si="25">IF(H57=0,0,L57/H57)</f>
        <v>-0.22372892475010356</v>
      </c>
      <c r="O57" s="13"/>
      <c r="P57" s="1">
        <f>SUM(OSRRefP22_1x_0)</f>
        <v>83188.22</v>
      </c>
      <c r="Q57" s="1"/>
      <c r="R57" s="5">
        <f t="shared" ref="R57:R67" si="26">IF(P$12=0,0,P57/P$12)</f>
        <v>0.33102515379429837</v>
      </c>
      <c r="S57" s="1"/>
      <c r="T57" s="1">
        <f>SUM(OSRRefT22_1x_0)</f>
        <v>96476.246153846092</v>
      </c>
      <c r="U57" s="1"/>
      <c r="V57" s="5">
        <f t="shared" ref="V57:V67" si="27">IF(T$12=0,0,T57/T$12)</f>
        <v>0.20422359237062709</v>
      </c>
      <c r="W57" s="1"/>
      <c r="X57" s="1">
        <f t="shared" ref="X57:X67" si="28">+P57-T57</f>
        <v>-13288.026153846091</v>
      </c>
      <c r="Y57" s="1"/>
      <c r="Z57" s="5">
        <f t="shared" ref="Z57:Z67" si="29">IF(T57=0,0,X57/T57)</f>
        <v>-0.13773365655890368</v>
      </c>
    </row>
    <row r="58" spans="1:26" s="24" customFormat="1" hidden="1" outlineLevel="2" x14ac:dyDescent="0.25">
      <c r="A58" s="26"/>
      <c r="B58" s="11" t="str">
        <f>CONCATENATE("          ", "6001", " - ", "ADMINISTRATIVE SALARIES")</f>
        <v xml:space="preserve">          6001 - ADMINISTRATIVE SALARIES</v>
      </c>
      <c r="C58" s="11"/>
      <c r="D58" s="7"/>
      <c r="E58" s="2"/>
      <c r="F58" s="6">
        <f t="shared" si="22"/>
        <v>0</v>
      </c>
      <c r="G58" s="2"/>
      <c r="H58" s="7">
        <v>0</v>
      </c>
      <c r="I58" s="2"/>
      <c r="J58" s="6">
        <f t="shared" si="23"/>
        <v>0</v>
      </c>
      <c r="K58" s="2"/>
      <c r="L58" s="7">
        <f t="shared" si="24"/>
        <v>0</v>
      </c>
      <c r="M58" s="2"/>
      <c r="N58" s="6">
        <f t="shared" si="25"/>
        <v>0</v>
      </c>
      <c r="O58" s="11"/>
      <c r="P58" s="7"/>
      <c r="Q58" s="2"/>
      <c r="R58" s="6">
        <f t="shared" si="26"/>
        <v>0</v>
      </c>
      <c r="S58" s="2"/>
      <c r="T58" s="7">
        <v>0</v>
      </c>
      <c r="U58" s="2"/>
      <c r="V58" s="6">
        <f t="shared" si="27"/>
        <v>0</v>
      </c>
      <c r="W58" s="2"/>
      <c r="X58" s="7">
        <f t="shared" si="28"/>
        <v>0</v>
      </c>
      <c r="Y58" s="2"/>
      <c r="Z58" s="6">
        <f t="shared" si="29"/>
        <v>0</v>
      </c>
    </row>
    <row r="59" spans="1:26" s="24" customFormat="1" hidden="1" outlineLevel="2" x14ac:dyDescent="0.25">
      <c r="A59" s="26"/>
      <c r="B59" s="11" t="str">
        <f>CONCATENATE("          ", "6002", " - ", "STAFF SALARIES")</f>
        <v xml:space="preserve">          6002 - STAFF SALARIES</v>
      </c>
      <c r="C59" s="11"/>
      <c r="D59" s="7">
        <v>5153.24</v>
      </c>
      <c r="E59" s="2"/>
      <c r="F59" s="6">
        <f t="shared" si="22"/>
        <v>0.11979011090704066</v>
      </c>
      <c r="G59" s="2"/>
      <c r="H59" s="7">
        <v>2635.0961538461502</v>
      </c>
      <c r="I59" s="2"/>
      <c r="J59" s="6">
        <f t="shared" si="23"/>
        <v>5.285520316610471E-2</v>
      </c>
      <c r="K59" s="2"/>
      <c r="L59" s="7">
        <f t="shared" si="24"/>
        <v>2518.1438461538496</v>
      </c>
      <c r="M59" s="2"/>
      <c r="N59" s="6">
        <f t="shared" si="25"/>
        <v>0.95561744207261712</v>
      </c>
      <c r="O59" s="11"/>
      <c r="P59" s="7">
        <v>48008.12</v>
      </c>
      <c r="Q59" s="2"/>
      <c r="R59" s="6">
        <f t="shared" si="26"/>
        <v>0.19103540508950825</v>
      </c>
      <c r="S59" s="2"/>
      <c r="T59" s="7">
        <v>23188.846153846102</v>
      </c>
      <c r="U59" s="2"/>
      <c r="V59" s="6">
        <f t="shared" si="27"/>
        <v>4.9086792379094427E-2</v>
      </c>
      <c r="W59" s="2"/>
      <c r="X59" s="7">
        <f t="shared" si="28"/>
        <v>24819.273846153901</v>
      </c>
      <c r="Y59" s="2"/>
      <c r="Z59" s="6">
        <f t="shared" si="29"/>
        <v>1.070310859000519</v>
      </c>
    </row>
    <row r="60" spans="1:26" s="24" customFormat="1" hidden="1" outlineLevel="2" x14ac:dyDescent="0.25">
      <c r="A60" s="26"/>
      <c r="B60" s="11" t="str">
        <f>CONCATENATE("          ", "6003", " - ", "STAFF HOURLY-9 MONTH")</f>
        <v xml:space="preserve">          6003 - STAFF HOURLY-9 MONTH</v>
      </c>
      <c r="C60" s="11"/>
      <c r="D60" s="7"/>
      <c r="E60" s="2"/>
      <c r="F60" s="6">
        <f t="shared" si="22"/>
        <v>0</v>
      </c>
      <c r="G60" s="2"/>
      <c r="H60" s="7">
        <v>0</v>
      </c>
      <c r="I60" s="2"/>
      <c r="J60" s="6">
        <f t="shared" si="23"/>
        <v>0</v>
      </c>
      <c r="K60" s="2"/>
      <c r="L60" s="7">
        <f t="shared" si="24"/>
        <v>0</v>
      </c>
      <c r="M60" s="2"/>
      <c r="N60" s="6">
        <f t="shared" si="25"/>
        <v>0</v>
      </c>
      <c r="O60" s="11"/>
      <c r="P60" s="7"/>
      <c r="Q60" s="2"/>
      <c r="R60" s="6">
        <f t="shared" si="26"/>
        <v>0</v>
      </c>
      <c r="S60" s="2"/>
      <c r="T60" s="7">
        <v>0</v>
      </c>
      <c r="U60" s="2"/>
      <c r="V60" s="6">
        <f t="shared" si="27"/>
        <v>0</v>
      </c>
      <c r="W60" s="2"/>
      <c r="X60" s="7">
        <f t="shared" si="28"/>
        <v>0</v>
      </c>
      <c r="Y60" s="2"/>
      <c r="Z60" s="6">
        <f t="shared" si="29"/>
        <v>0</v>
      </c>
    </row>
    <row r="61" spans="1:26" s="24" customFormat="1" hidden="1" outlineLevel="2" x14ac:dyDescent="0.25">
      <c r="A61" s="26"/>
      <c r="B61" s="11" t="str">
        <f>CONCATENATE("          ", "6004", " - ", "STAFF HOURLY")</f>
        <v xml:space="preserve">          6004 - STAFF HOURLY</v>
      </c>
      <c r="C61" s="11"/>
      <c r="D61" s="7"/>
      <c r="E61" s="2"/>
      <c r="F61" s="6">
        <f t="shared" si="22"/>
        <v>0</v>
      </c>
      <c r="G61" s="2"/>
      <c r="H61" s="7">
        <v>1699.5</v>
      </c>
      <c r="I61" s="2"/>
      <c r="J61" s="6">
        <f t="shared" si="23"/>
        <v>3.4088857687293153E-2</v>
      </c>
      <c r="K61" s="2"/>
      <c r="L61" s="7">
        <f t="shared" si="24"/>
        <v>-1699.5</v>
      </c>
      <c r="M61" s="2"/>
      <c r="N61" s="6">
        <f t="shared" si="25"/>
        <v>-1</v>
      </c>
      <c r="O61" s="11"/>
      <c r="P61" s="7">
        <v>3456.21</v>
      </c>
      <c r="Q61" s="2"/>
      <c r="R61" s="6">
        <f t="shared" si="26"/>
        <v>1.3753058387298008E-2</v>
      </c>
      <c r="S61" s="2"/>
      <c r="T61" s="7">
        <v>14698.2</v>
      </c>
      <c r="U61" s="2"/>
      <c r="V61" s="6">
        <f t="shared" si="27"/>
        <v>3.1113557223145395E-2</v>
      </c>
      <c r="W61" s="2"/>
      <c r="X61" s="7">
        <f t="shared" si="28"/>
        <v>-11241.990000000002</v>
      </c>
      <c r="Y61" s="2"/>
      <c r="Z61" s="6">
        <f t="shared" si="29"/>
        <v>-0.76485488018941106</v>
      </c>
    </row>
    <row r="62" spans="1:26" s="24" customFormat="1" hidden="1" outlineLevel="2" x14ac:dyDescent="0.25">
      <c r="A62" s="26"/>
      <c r="B62" s="11" t="str">
        <f>CONCATENATE("          ", "6005", " - ", "TEMPORARY WAGES-HOURLY")</f>
        <v xml:space="preserve">          6005 - TEMPORARY WAGES-HOURLY</v>
      </c>
      <c r="C62" s="11"/>
      <c r="D62" s="7">
        <v>2617.66</v>
      </c>
      <c r="E62" s="2"/>
      <c r="F62" s="6">
        <f t="shared" si="22"/>
        <v>6.0849054520442293E-2</v>
      </c>
      <c r="G62" s="2"/>
      <c r="H62" s="7">
        <v>0</v>
      </c>
      <c r="I62" s="2"/>
      <c r="J62" s="6">
        <f t="shared" si="23"/>
        <v>0</v>
      </c>
      <c r="K62" s="2"/>
      <c r="L62" s="7">
        <f t="shared" si="24"/>
        <v>2617.66</v>
      </c>
      <c r="M62" s="2"/>
      <c r="N62" s="6">
        <f t="shared" si="25"/>
        <v>0</v>
      </c>
      <c r="O62" s="11"/>
      <c r="P62" s="7">
        <v>16583.11</v>
      </c>
      <c r="Q62" s="2"/>
      <c r="R62" s="6">
        <f t="shared" si="26"/>
        <v>6.598802736899248E-2</v>
      </c>
      <c r="S62" s="2"/>
      <c r="T62" s="7">
        <v>0</v>
      </c>
      <c r="U62" s="2"/>
      <c r="V62" s="6">
        <f t="shared" si="27"/>
        <v>0</v>
      </c>
      <c r="W62" s="2"/>
      <c r="X62" s="7">
        <f t="shared" si="28"/>
        <v>16583.11</v>
      </c>
      <c r="Y62" s="2"/>
      <c r="Z62" s="6">
        <f t="shared" si="29"/>
        <v>0</v>
      </c>
    </row>
    <row r="63" spans="1:26" s="24" customFormat="1" hidden="1" outlineLevel="2" x14ac:dyDescent="0.25">
      <c r="A63" s="26"/>
      <c r="B63" s="11" t="str">
        <f>CONCATENATE("          ", "6006", " - ", "TEMPORARY PART TIME")</f>
        <v xml:space="preserve">          6006 - TEMPORARY PART TIME</v>
      </c>
      <c r="C63" s="11"/>
      <c r="D63" s="7">
        <v>203.81</v>
      </c>
      <c r="E63" s="2"/>
      <c r="F63" s="6">
        <f t="shared" si="22"/>
        <v>4.7376839627038441E-3</v>
      </c>
      <c r="G63" s="2"/>
      <c r="H63" s="7">
        <v>0</v>
      </c>
      <c r="I63" s="2"/>
      <c r="J63" s="6">
        <f t="shared" si="23"/>
        <v>0</v>
      </c>
      <c r="K63" s="2"/>
      <c r="L63" s="7">
        <f t="shared" si="24"/>
        <v>203.81</v>
      </c>
      <c r="M63" s="2"/>
      <c r="N63" s="6">
        <f t="shared" si="25"/>
        <v>0</v>
      </c>
      <c r="O63" s="11"/>
      <c r="P63" s="7">
        <v>710.96</v>
      </c>
      <c r="Q63" s="2"/>
      <c r="R63" s="6">
        <f t="shared" si="26"/>
        <v>2.8290741566725959E-3</v>
      </c>
      <c r="S63" s="2"/>
      <c r="T63" s="7">
        <v>0</v>
      </c>
      <c r="U63" s="2"/>
      <c r="V63" s="6">
        <f t="shared" si="27"/>
        <v>0</v>
      </c>
      <c r="W63" s="2"/>
      <c r="X63" s="7">
        <f t="shared" si="28"/>
        <v>710.96</v>
      </c>
      <c r="Y63" s="2"/>
      <c r="Z63" s="6">
        <f t="shared" si="29"/>
        <v>0</v>
      </c>
    </row>
    <row r="64" spans="1:26" s="24" customFormat="1" hidden="1" outlineLevel="2" x14ac:dyDescent="0.25">
      <c r="A64" s="26"/>
      <c r="B64" s="11" t="str">
        <f>CONCATENATE("          ", "6007", " - ", "STUDENT HOURLY")</f>
        <v xml:space="preserve">          6007 - STUDENT HOURLY</v>
      </c>
      <c r="C64" s="11"/>
      <c r="D64" s="7">
        <v>681.98</v>
      </c>
      <c r="E64" s="2"/>
      <c r="F64" s="6">
        <f t="shared" si="22"/>
        <v>1.5853028354274899E-2</v>
      </c>
      <c r="G64" s="2"/>
      <c r="H64" s="7">
        <v>0</v>
      </c>
      <c r="I64" s="2"/>
      <c r="J64" s="6">
        <f t="shared" si="23"/>
        <v>0</v>
      </c>
      <c r="K64" s="2"/>
      <c r="L64" s="7">
        <f t="shared" si="24"/>
        <v>681.98</v>
      </c>
      <c r="M64" s="2"/>
      <c r="N64" s="6">
        <f t="shared" si="25"/>
        <v>0</v>
      </c>
      <c r="O64" s="11"/>
      <c r="P64" s="7">
        <v>12429.31</v>
      </c>
      <c r="Q64" s="2"/>
      <c r="R64" s="6">
        <f t="shared" si="26"/>
        <v>4.9459097145088698E-2</v>
      </c>
      <c r="S64" s="2"/>
      <c r="T64" s="7">
        <v>11655</v>
      </c>
      <c r="U64" s="2"/>
      <c r="V64" s="6">
        <f t="shared" si="27"/>
        <v>2.4671627099628498E-2</v>
      </c>
      <c r="W64" s="2"/>
      <c r="X64" s="7">
        <f t="shared" si="28"/>
        <v>774.30999999999949</v>
      </c>
      <c r="Y64" s="2"/>
      <c r="Z64" s="6">
        <f t="shared" si="29"/>
        <v>6.6435864435864397E-2</v>
      </c>
    </row>
    <row r="65" spans="1:26" s="24" customFormat="1" hidden="1" outlineLevel="2" x14ac:dyDescent="0.25">
      <c r="A65" s="26"/>
      <c r="B65" s="11" t="str">
        <f>CONCATENATE("          ", "6008", " - ", "STUDENT HOURLY-FICA EXEMPT")</f>
        <v xml:space="preserve">          6008 - STUDENT HOURLY-FICA EXEMPT</v>
      </c>
      <c r="C65" s="11"/>
      <c r="D65" s="7">
        <v>81.48</v>
      </c>
      <c r="E65" s="2"/>
      <c r="F65" s="6">
        <f t="shared" si="22"/>
        <v>1.8940507790643699E-3</v>
      </c>
      <c r="G65" s="2"/>
      <c r="H65" s="7">
        <v>6922</v>
      </c>
      <c r="I65" s="2"/>
      <c r="J65" s="6">
        <f t="shared" si="23"/>
        <v>0.13884264366663324</v>
      </c>
      <c r="K65" s="2"/>
      <c r="L65" s="7">
        <f t="shared" si="24"/>
        <v>-6840.52</v>
      </c>
      <c r="M65" s="2"/>
      <c r="N65" s="6">
        <f t="shared" si="25"/>
        <v>-0.98822883559664843</v>
      </c>
      <c r="O65" s="11"/>
      <c r="P65" s="7">
        <v>2000.51</v>
      </c>
      <c r="Q65" s="2"/>
      <c r="R65" s="6">
        <f t="shared" si="26"/>
        <v>7.9604916467383453E-3</v>
      </c>
      <c r="S65" s="2"/>
      <c r="T65" s="7">
        <v>46934.2</v>
      </c>
      <c r="U65" s="2"/>
      <c r="V65" s="6">
        <f t="shared" si="27"/>
        <v>9.9351615668758789E-2</v>
      </c>
      <c r="W65" s="2"/>
      <c r="X65" s="7">
        <f t="shared" si="28"/>
        <v>-44933.689999999995</v>
      </c>
      <c r="Y65" s="2"/>
      <c r="Z65" s="6">
        <f t="shared" si="29"/>
        <v>-0.95737628424475107</v>
      </c>
    </row>
    <row r="66" spans="1:26" s="24" customFormat="1" hidden="1" outlineLevel="2" x14ac:dyDescent="0.25">
      <c r="A66" s="26"/>
      <c r="B66" s="11" t="str">
        <f>CONCATENATE("          ", "6009", " - ", "TEMPORARY-SEASONAL")</f>
        <v xml:space="preserve">          6009 - TEMPORARY-SEASONAL</v>
      </c>
      <c r="C66" s="11"/>
      <c r="D66" s="7"/>
      <c r="E66" s="2"/>
      <c r="F66" s="6">
        <f t="shared" si="22"/>
        <v>0</v>
      </c>
      <c r="G66" s="2"/>
      <c r="H66" s="7">
        <v>0</v>
      </c>
      <c r="I66" s="2"/>
      <c r="J66" s="6">
        <f t="shared" si="23"/>
        <v>0</v>
      </c>
      <c r="K66" s="2"/>
      <c r="L66" s="7">
        <f t="shared" si="24"/>
        <v>0</v>
      </c>
      <c r="M66" s="2"/>
      <c r="N66" s="6">
        <f t="shared" si="25"/>
        <v>0</v>
      </c>
      <c r="O66" s="11"/>
      <c r="P66" s="7"/>
      <c r="Q66" s="2"/>
      <c r="R66" s="6">
        <f t="shared" si="26"/>
        <v>0</v>
      </c>
      <c r="S66" s="2"/>
      <c r="T66" s="7">
        <v>0</v>
      </c>
      <c r="U66" s="2"/>
      <c r="V66" s="6">
        <f t="shared" si="27"/>
        <v>0</v>
      </c>
      <c r="W66" s="2"/>
      <c r="X66" s="7">
        <f t="shared" si="28"/>
        <v>0</v>
      </c>
      <c r="Y66" s="2"/>
      <c r="Z66" s="6">
        <f t="shared" si="29"/>
        <v>0</v>
      </c>
    </row>
    <row r="67" spans="1:26" s="24" customFormat="1" hidden="1" outlineLevel="2" x14ac:dyDescent="0.25">
      <c r="A67" s="26"/>
      <c r="B67" s="11" t="str">
        <f>CONCATENATE("          ", "6010", " - ", "GRATUITY")</f>
        <v xml:space="preserve">          6010 - GRATUITY</v>
      </c>
      <c r="C67" s="11"/>
      <c r="D67" s="7"/>
      <c r="E67" s="2"/>
      <c r="F67" s="6">
        <f t="shared" si="22"/>
        <v>0</v>
      </c>
      <c r="G67" s="2"/>
      <c r="H67" s="7">
        <v>0</v>
      </c>
      <c r="I67" s="2"/>
      <c r="J67" s="6">
        <f t="shared" si="23"/>
        <v>0</v>
      </c>
      <c r="K67" s="2"/>
      <c r="L67" s="7">
        <f t="shared" si="24"/>
        <v>0</v>
      </c>
      <c r="M67" s="2"/>
      <c r="N67" s="6">
        <f t="shared" si="25"/>
        <v>0</v>
      </c>
      <c r="O67" s="11"/>
      <c r="P67" s="7"/>
      <c r="Q67" s="2"/>
      <c r="R67" s="6">
        <f t="shared" si="26"/>
        <v>0</v>
      </c>
      <c r="S67" s="2"/>
      <c r="T67" s="7">
        <v>0</v>
      </c>
      <c r="U67" s="2"/>
      <c r="V67" s="6">
        <f t="shared" si="27"/>
        <v>0</v>
      </c>
      <c r="W67" s="2"/>
      <c r="X67" s="7">
        <f t="shared" si="28"/>
        <v>0</v>
      </c>
      <c r="Y67" s="2"/>
      <c r="Z67" s="6">
        <f t="shared" si="29"/>
        <v>0</v>
      </c>
    </row>
    <row r="68" spans="1:26" s="25" customFormat="1" outlineLevel="1" collapsed="1" x14ac:dyDescent="0.25">
      <c r="A68" s="27"/>
      <c r="B68" s="13" t="str">
        <f>CONCATENATE("     ","Advertising/Promo                                 ")</f>
        <v xml:space="preserve">     Advertising/Promo                                 </v>
      </c>
      <c r="C68" s="13"/>
      <c r="D68" s="1">
        <f>SUM(OSRRefD22_2x_0)</f>
        <v>936</v>
      </c>
      <c r="E68" s="1"/>
      <c r="F68" s="5">
        <f t="shared" ref="F68:F82" si="30">IF(D$12=0,0,D68/D$12)</f>
        <v>2.1757873456115E-2</v>
      </c>
      <c r="G68" s="1"/>
      <c r="H68" s="1">
        <f>SUM(OSRRefH22_2x_0)</f>
        <v>50</v>
      </c>
      <c r="I68" s="1"/>
      <c r="J68" s="5">
        <f t="shared" ref="J68:J82" si="31">IF(H$12=0,0,H68/H$12)</f>
        <v>1.0029084344599338E-3</v>
      </c>
      <c r="K68" s="1"/>
      <c r="L68" s="1">
        <f t="shared" ref="L68:L82" si="32">+D68-H68</f>
        <v>886</v>
      </c>
      <c r="M68" s="1"/>
      <c r="N68" s="5">
        <f t="shared" ref="N68:N82" si="33">IF(H68=0,0,L68/H68)</f>
        <v>17.72</v>
      </c>
      <c r="O68" s="13"/>
      <c r="P68" s="1">
        <f>SUM(OSRRefP22_2x_0)</f>
        <v>1960.2</v>
      </c>
      <c r="Q68" s="1"/>
      <c r="R68" s="5">
        <f t="shared" ref="R68:R82" si="34">IF(P$12=0,0,P68/P$12)</f>
        <v>7.8000888403139731E-3</v>
      </c>
      <c r="S68" s="1"/>
      <c r="T68" s="1">
        <f>SUM(OSRRefT22_2x_0)</f>
        <v>500</v>
      </c>
      <c r="U68" s="1"/>
      <c r="V68" s="5">
        <f t="shared" ref="V68:V82" si="35">IF(T$12=0,0,T68/T$12)</f>
        <v>1.0584138609879236E-3</v>
      </c>
      <c r="W68" s="1"/>
      <c r="X68" s="1">
        <f t="shared" ref="X68:X82" si="36">+P68-T68</f>
        <v>1460.2</v>
      </c>
      <c r="Y68" s="1"/>
      <c r="Z68" s="5">
        <f t="shared" ref="Z68:Z82" si="37">IF(T68=0,0,X68/T68)</f>
        <v>2.9203999999999999</v>
      </c>
    </row>
    <row r="69" spans="1:26" s="24" customFormat="1" hidden="1" outlineLevel="2" x14ac:dyDescent="0.25">
      <c r="A69" s="26"/>
      <c r="B69" s="11" t="str">
        <f>CONCATENATE("          ", "6362", " - ", "ADVERTISING EXPENSE")</f>
        <v xml:space="preserve">          6362 - ADVERTISING EXPENSE</v>
      </c>
      <c r="C69" s="11"/>
      <c r="D69" s="7">
        <v>936</v>
      </c>
      <c r="E69" s="2"/>
      <c r="F69" s="6">
        <f t="shared" si="30"/>
        <v>2.1757873456115E-2</v>
      </c>
      <c r="G69" s="2"/>
      <c r="H69" s="7">
        <v>50</v>
      </c>
      <c r="I69" s="2"/>
      <c r="J69" s="6">
        <f t="shared" si="31"/>
        <v>1.0029084344599338E-3</v>
      </c>
      <c r="K69" s="2"/>
      <c r="L69" s="7">
        <f t="shared" si="32"/>
        <v>886</v>
      </c>
      <c r="M69" s="2"/>
      <c r="N69" s="6">
        <f t="shared" si="33"/>
        <v>17.72</v>
      </c>
      <c r="O69" s="11"/>
      <c r="P69" s="7">
        <v>1960.2</v>
      </c>
      <c r="Q69" s="2"/>
      <c r="R69" s="6">
        <f t="shared" si="34"/>
        <v>7.8000888403139731E-3</v>
      </c>
      <c r="S69" s="2"/>
      <c r="T69" s="7">
        <v>500</v>
      </c>
      <c r="U69" s="2"/>
      <c r="V69" s="6">
        <f t="shared" si="35"/>
        <v>1.0584138609879236E-3</v>
      </c>
      <c r="W69" s="2"/>
      <c r="X69" s="7">
        <f t="shared" si="36"/>
        <v>1460.2</v>
      </c>
      <c r="Y69" s="2"/>
      <c r="Z69" s="6">
        <f t="shared" si="37"/>
        <v>2.9203999999999999</v>
      </c>
    </row>
    <row r="70" spans="1:26" s="25" customFormat="1" outlineLevel="1" collapsed="1" x14ac:dyDescent="0.25">
      <c r="A70" s="27"/>
      <c r="B70" s="13" t="str">
        <f>CONCATENATE("     ","Bad Debts/Over/Short                              ")</f>
        <v xml:space="preserve">     Bad Debts/Over/Short                              </v>
      </c>
      <c r="C70" s="13"/>
      <c r="D70" s="1">
        <f>SUM(OSRRefD22_3x_0)</f>
        <v>0.26</v>
      </c>
      <c r="E70" s="1"/>
      <c r="F70" s="5">
        <f t="shared" si="30"/>
        <v>6.0438537378097221E-6</v>
      </c>
      <c r="G70" s="1"/>
      <c r="H70" s="1">
        <f>SUM(OSRRefH22_3x_0)</f>
        <v>10</v>
      </c>
      <c r="I70" s="1"/>
      <c r="J70" s="5">
        <f t="shared" si="31"/>
        <v>2.0058168689198675E-4</v>
      </c>
      <c r="K70" s="1"/>
      <c r="L70" s="1">
        <f t="shared" si="32"/>
        <v>-9.74</v>
      </c>
      <c r="M70" s="1"/>
      <c r="N70" s="5">
        <f t="shared" si="33"/>
        <v>-0.97399999999999998</v>
      </c>
      <c r="O70" s="13"/>
      <c r="P70" s="1">
        <f>SUM(OSRRefP22_3x_0)</f>
        <v>-23.1</v>
      </c>
      <c r="Q70" s="1"/>
      <c r="R70" s="5">
        <f t="shared" si="34"/>
        <v>-9.1920238858918878E-5</v>
      </c>
      <c r="S70" s="1"/>
      <c r="T70" s="1">
        <f>SUM(OSRRefT22_3x_0)</f>
        <v>100</v>
      </c>
      <c r="U70" s="1"/>
      <c r="V70" s="5">
        <f t="shared" si="35"/>
        <v>2.1168277219758469E-4</v>
      </c>
      <c r="W70" s="1"/>
      <c r="X70" s="1">
        <f t="shared" si="36"/>
        <v>-123.1</v>
      </c>
      <c r="Y70" s="1"/>
      <c r="Z70" s="5">
        <f t="shared" si="37"/>
        <v>-1.2309999999999999</v>
      </c>
    </row>
    <row r="71" spans="1:26" s="24" customFormat="1" hidden="1" outlineLevel="2" x14ac:dyDescent="0.25">
      <c r="A71" s="26"/>
      <c r="B71" s="11" t="str">
        <f>CONCATENATE("          ", "6272", " - ", "CASH (OVER/SHORT)")</f>
        <v xml:space="preserve">          6272 - CASH (OVER/SHORT)</v>
      </c>
      <c r="C71" s="11"/>
      <c r="D71" s="7">
        <v>0.26</v>
      </c>
      <c r="E71" s="2"/>
      <c r="F71" s="6">
        <f t="shared" si="30"/>
        <v>6.0438537378097221E-6</v>
      </c>
      <c r="G71" s="2"/>
      <c r="H71" s="7">
        <v>10</v>
      </c>
      <c r="I71" s="2"/>
      <c r="J71" s="6">
        <f t="shared" si="31"/>
        <v>2.0058168689198675E-4</v>
      </c>
      <c r="K71" s="2"/>
      <c r="L71" s="7">
        <f t="shared" si="32"/>
        <v>-9.74</v>
      </c>
      <c r="M71" s="2"/>
      <c r="N71" s="6">
        <f t="shared" si="33"/>
        <v>-0.97399999999999998</v>
      </c>
      <c r="O71" s="11"/>
      <c r="P71" s="7">
        <v>-23.1</v>
      </c>
      <c r="Q71" s="2"/>
      <c r="R71" s="6">
        <f t="shared" si="34"/>
        <v>-9.1920238858918878E-5</v>
      </c>
      <c r="S71" s="2"/>
      <c r="T71" s="7">
        <v>100</v>
      </c>
      <c r="U71" s="2"/>
      <c r="V71" s="6">
        <f t="shared" si="35"/>
        <v>2.1168277219758469E-4</v>
      </c>
      <c r="W71" s="2"/>
      <c r="X71" s="7">
        <f t="shared" si="36"/>
        <v>-123.1</v>
      </c>
      <c r="Y71" s="2"/>
      <c r="Z71" s="6">
        <f t="shared" si="37"/>
        <v>-1.2309999999999999</v>
      </c>
    </row>
    <row r="72" spans="1:26" s="25" customFormat="1" outlineLevel="1" collapsed="1" x14ac:dyDescent="0.25">
      <c r="A72" s="27"/>
      <c r="B72" s="13" t="str">
        <f>CONCATENATE("     ","Bank/card Fees                                    ")</f>
        <v xml:space="preserve">     Bank/card Fees                                    </v>
      </c>
      <c r="C72" s="13"/>
      <c r="D72" s="1">
        <f>SUM(OSRRefD22_4x_0)</f>
        <v>494.45</v>
      </c>
      <c r="E72" s="1"/>
      <c r="F72" s="5">
        <f t="shared" si="30"/>
        <v>1.1493782617923142E-2</v>
      </c>
      <c r="G72" s="1"/>
      <c r="H72" s="1">
        <f>SUM(OSRRefH22_4x_0)</f>
        <v>700</v>
      </c>
      <c r="I72" s="1"/>
      <c r="J72" s="5">
        <f t="shared" si="31"/>
        <v>1.4040718082439074E-2</v>
      </c>
      <c r="K72" s="1"/>
      <c r="L72" s="1">
        <f t="shared" si="32"/>
        <v>-205.55</v>
      </c>
      <c r="M72" s="1"/>
      <c r="N72" s="5">
        <f t="shared" si="33"/>
        <v>-0.29364285714285715</v>
      </c>
      <c r="O72" s="13"/>
      <c r="P72" s="1">
        <f>SUM(OSRRefP22_4x_0)</f>
        <v>3832.35</v>
      </c>
      <c r="Q72" s="1"/>
      <c r="R72" s="5">
        <f t="shared" si="34"/>
        <v>1.5249806380561807E-2</v>
      </c>
      <c r="S72" s="1"/>
      <c r="T72" s="1">
        <f>SUM(OSRRefT22_4x_0)</f>
        <v>6986</v>
      </c>
      <c r="U72" s="1"/>
      <c r="V72" s="5">
        <f t="shared" si="35"/>
        <v>1.4788158465723266E-2</v>
      </c>
      <c r="W72" s="1"/>
      <c r="X72" s="1">
        <f t="shared" si="36"/>
        <v>-3153.65</v>
      </c>
      <c r="Y72" s="1"/>
      <c r="Z72" s="5">
        <f t="shared" si="37"/>
        <v>-0.45142427712567995</v>
      </c>
    </row>
    <row r="73" spans="1:26" s="24" customFormat="1" hidden="1" outlineLevel="2" x14ac:dyDescent="0.25">
      <c r="A73" s="26"/>
      <c r="B73" s="11" t="str">
        <f>CONCATENATE("          ", "6381", " - ", "BANK/CREDIT CARD FEES")</f>
        <v xml:space="preserve">          6381 - BANK/CREDIT CARD FEES</v>
      </c>
      <c r="C73" s="11"/>
      <c r="D73" s="7">
        <v>494.45</v>
      </c>
      <c r="E73" s="2"/>
      <c r="F73" s="6">
        <f t="shared" si="30"/>
        <v>1.1493782617923142E-2</v>
      </c>
      <c r="G73" s="2"/>
      <c r="H73" s="7">
        <v>700</v>
      </c>
      <c r="I73" s="2"/>
      <c r="J73" s="6">
        <f t="shared" si="31"/>
        <v>1.4040718082439074E-2</v>
      </c>
      <c r="K73" s="2"/>
      <c r="L73" s="7">
        <f t="shared" si="32"/>
        <v>-205.55</v>
      </c>
      <c r="M73" s="2"/>
      <c r="N73" s="6">
        <f t="shared" si="33"/>
        <v>-0.29364285714285715</v>
      </c>
      <c r="O73" s="11"/>
      <c r="P73" s="7">
        <v>3832.35</v>
      </c>
      <c r="Q73" s="2"/>
      <c r="R73" s="6">
        <f t="shared" si="34"/>
        <v>1.5249806380561807E-2</v>
      </c>
      <c r="S73" s="2"/>
      <c r="T73" s="7">
        <v>6986</v>
      </c>
      <c r="U73" s="2"/>
      <c r="V73" s="6">
        <f t="shared" si="35"/>
        <v>1.4788158465723266E-2</v>
      </c>
      <c r="W73" s="2"/>
      <c r="X73" s="7">
        <f t="shared" si="36"/>
        <v>-3153.65</v>
      </c>
      <c r="Y73" s="2"/>
      <c r="Z73" s="6">
        <f t="shared" si="37"/>
        <v>-0.45142427712567995</v>
      </c>
    </row>
    <row r="74" spans="1:26" s="25" customFormat="1" outlineLevel="1" collapsed="1" x14ac:dyDescent="0.25">
      <c r="A74" s="27"/>
      <c r="B74" s="13" t="str">
        <f>CONCATENATE("     ","Discounts and Markdowns                           ")</f>
        <v xml:space="preserve">     Discounts and Markdowns                           </v>
      </c>
      <c r="C74" s="13"/>
      <c r="D74" s="1">
        <f>SUM(OSRRefD22_5x_0)</f>
        <v>0</v>
      </c>
      <c r="E74" s="1"/>
      <c r="F74" s="5">
        <f t="shared" si="30"/>
        <v>0</v>
      </c>
      <c r="G74" s="1"/>
      <c r="H74" s="1">
        <f>SUM(OSRRefH22_5x_0)</f>
        <v>4986</v>
      </c>
      <c r="I74" s="1"/>
      <c r="J74" s="5">
        <f t="shared" si="31"/>
        <v>0.1000100290843446</v>
      </c>
      <c r="K74" s="1"/>
      <c r="L74" s="1">
        <f t="shared" si="32"/>
        <v>-4986</v>
      </c>
      <c r="M74" s="1"/>
      <c r="N74" s="5">
        <f t="shared" si="33"/>
        <v>-1</v>
      </c>
      <c r="O74" s="13"/>
      <c r="P74" s="1">
        <f>SUM(OSRRefP22_5x_0)</f>
        <v>0</v>
      </c>
      <c r="Q74" s="1"/>
      <c r="R74" s="5">
        <f t="shared" si="34"/>
        <v>0</v>
      </c>
      <c r="S74" s="1"/>
      <c r="T74" s="1">
        <f>SUM(OSRRefT22_5x_0)</f>
        <v>47242</v>
      </c>
      <c r="U74" s="1"/>
      <c r="V74" s="5">
        <f t="shared" si="35"/>
        <v>0.10000317524158296</v>
      </c>
      <c r="W74" s="1"/>
      <c r="X74" s="1">
        <f t="shared" si="36"/>
        <v>-47242</v>
      </c>
      <c r="Y74" s="1"/>
      <c r="Z74" s="5">
        <f t="shared" si="37"/>
        <v>-1</v>
      </c>
    </row>
    <row r="75" spans="1:26" s="24" customFormat="1" hidden="1" outlineLevel="2" x14ac:dyDescent="0.25">
      <c r="A75" s="26"/>
      <c r="B75" s="11" t="str">
        <f>CONCATENATE("          ", "6382", " - ", "DISCOUNTS/MARK DOWNS")</f>
        <v xml:space="preserve">          6382 - DISCOUNTS/MARK DOWNS</v>
      </c>
      <c r="C75" s="11"/>
      <c r="D75" s="7">
        <v>0</v>
      </c>
      <c r="E75" s="2"/>
      <c r="F75" s="6">
        <f t="shared" si="30"/>
        <v>0</v>
      </c>
      <c r="G75" s="2"/>
      <c r="H75" s="7">
        <v>4986</v>
      </c>
      <c r="I75" s="2"/>
      <c r="J75" s="6">
        <f t="shared" si="31"/>
        <v>0.1000100290843446</v>
      </c>
      <c r="K75" s="2"/>
      <c r="L75" s="7">
        <f t="shared" si="32"/>
        <v>-4986</v>
      </c>
      <c r="M75" s="2"/>
      <c r="N75" s="6">
        <f t="shared" si="33"/>
        <v>-1</v>
      </c>
      <c r="O75" s="11"/>
      <c r="P75" s="7">
        <v>0</v>
      </c>
      <c r="Q75" s="2"/>
      <c r="R75" s="6">
        <f t="shared" si="34"/>
        <v>0</v>
      </c>
      <c r="S75" s="2"/>
      <c r="T75" s="7">
        <v>47242</v>
      </c>
      <c r="U75" s="2"/>
      <c r="V75" s="6">
        <f t="shared" si="35"/>
        <v>0.10000317524158296</v>
      </c>
      <c r="W75" s="2"/>
      <c r="X75" s="7">
        <f t="shared" si="36"/>
        <v>-47242</v>
      </c>
      <c r="Y75" s="2"/>
      <c r="Z75" s="6">
        <f t="shared" si="37"/>
        <v>-1</v>
      </c>
    </row>
    <row r="76" spans="1:26" s="25" customFormat="1" outlineLevel="1" collapsed="1" x14ac:dyDescent="0.25">
      <c r="A76" s="27"/>
      <c r="B76" s="13" t="str">
        <f>CONCATENATE("     ","Donations                                         ")</f>
        <v xml:space="preserve">     Donations                                         </v>
      </c>
      <c r="C76" s="13"/>
      <c r="D76" s="1">
        <f>SUM(OSRRefD22_6x_0)</f>
        <v>0</v>
      </c>
      <c r="E76" s="1"/>
      <c r="F76" s="5">
        <f t="shared" si="30"/>
        <v>0</v>
      </c>
      <c r="G76" s="1"/>
      <c r="H76" s="1">
        <f>SUM(OSRRefH22_6x_0)</f>
        <v>0</v>
      </c>
      <c r="I76" s="1"/>
      <c r="J76" s="5">
        <f t="shared" si="31"/>
        <v>0</v>
      </c>
      <c r="K76" s="1"/>
      <c r="L76" s="1">
        <f t="shared" si="32"/>
        <v>0</v>
      </c>
      <c r="M76" s="1"/>
      <c r="N76" s="5">
        <f t="shared" si="33"/>
        <v>0</v>
      </c>
      <c r="O76" s="13"/>
      <c r="P76" s="1">
        <f>SUM(OSRRefP22_6x_0)</f>
        <v>0</v>
      </c>
      <c r="Q76" s="1"/>
      <c r="R76" s="5">
        <f t="shared" si="34"/>
        <v>0</v>
      </c>
      <c r="S76" s="1"/>
      <c r="T76" s="1">
        <f>SUM(OSRRefT22_6x_0)</f>
        <v>0</v>
      </c>
      <c r="U76" s="1"/>
      <c r="V76" s="5">
        <f t="shared" si="35"/>
        <v>0</v>
      </c>
      <c r="W76" s="1"/>
      <c r="X76" s="1">
        <f t="shared" si="36"/>
        <v>0</v>
      </c>
      <c r="Y76" s="1"/>
      <c r="Z76" s="5">
        <f t="shared" si="37"/>
        <v>0</v>
      </c>
    </row>
    <row r="77" spans="1:26" s="24" customFormat="1" hidden="1" outlineLevel="2" x14ac:dyDescent="0.25">
      <c r="A77" s="26"/>
      <c r="B77" s="11" t="str">
        <f>CONCATENATE("          ", "6395", " - ", "DONATION-OFF CAMPUS")</f>
        <v xml:space="preserve">          6395 - DONATION-OFF CAMPUS</v>
      </c>
      <c r="C77" s="11"/>
      <c r="D77" s="7"/>
      <c r="E77" s="2"/>
      <c r="F77" s="6">
        <f t="shared" si="30"/>
        <v>0</v>
      </c>
      <c r="G77" s="2"/>
      <c r="H77" s="7"/>
      <c r="I77" s="2"/>
      <c r="J77" s="6">
        <f t="shared" si="31"/>
        <v>0</v>
      </c>
      <c r="K77" s="2"/>
      <c r="L77" s="7">
        <f t="shared" si="32"/>
        <v>0</v>
      </c>
      <c r="M77" s="2"/>
      <c r="N77" s="6">
        <f t="shared" si="33"/>
        <v>0</v>
      </c>
      <c r="O77" s="11"/>
      <c r="P77" s="7"/>
      <c r="Q77" s="2"/>
      <c r="R77" s="6">
        <f t="shared" si="34"/>
        <v>0</v>
      </c>
      <c r="S77" s="2"/>
      <c r="T77" s="7">
        <v>0</v>
      </c>
      <c r="U77" s="2"/>
      <c r="V77" s="6">
        <f t="shared" si="35"/>
        <v>0</v>
      </c>
      <c r="W77" s="2"/>
      <c r="X77" s="7">
        <f t="shared" si="36"/>
        <v>0</v>
      </c>
      <c r="Y77" s="2"/>
      <c r="Z77" s="6">
        <f t="shared" si="37"/>
        <v>0</v>
      </c>
    </row>
    <row r="78" spans="1:26" s="25" customFormat="1" outlineLevel="1" collapsed="1" x14ac:dyDescent="0.25">
      <c r="A78" s="27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SUM(OSRRefD22_7x_0)</f>
        <v>0</v>
      </c>
      <c r="E78" s="1"/>
      <c r="F78" s="5">
        <f t="shared" si="30"/>
        <v>0</v>
      </c>
      <c r="G78" s="1"/>
      <c r="H78" s="1">
        <f>SUM(OSRRefH22_7x_0)</f>
        <v>50</v>
      </c>
      <c r="I78" s="1"/>
      <c r="J78" s="5">
        <f t="shared" si="31"/>
        <v>1.0029084344599338E-3</v>
      </c>
      <c r="K78" s="1"/>
      <c r="L78" s="1">
        <f t="shared" si="32"/>
        <v>-50</v>
      </c>
      <c r="M78" s="1"/>
      <c r="N78" s="5">
        <f t="shared" si="33"/>
        <v>-1</v>
      </c>
      <c r="O78" s="13"/>
      <c r="P78" s="1">
        <f>SUM(OSRRefP22_7x_0)</f>
        <v>0</v>
      </c>
      <c r="Q78" s="1"/>
      <c r="R78" s="5">
        <f t="shared" si="34"/>
        <v>0</v>
      </c>
      <c r="S78" s="1"/>
      <c r="T78" s="1">
        <f>SUM(OSRRefT22_7x_0)</f>
        <v>500</v>
      </c>
      <c r="U78" s="1"/>
      <c r="V78" s="5">
        <f t="shared" si="35"/>
        <v>1.0584138609879236E-3</v>
      </c>
      <c r="W78" s="1"/>
      <c r="X78" s="1">
        <f t="shared" si="36"/>
        <v>-500</v>
      </c>
      <c r="Y78" s="1"/>
      <c r="Z78" s="5">
        <f t="shared" si="37"/>
        <v>-1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7"/>
      <c r="E79" s="2"/>
      <c r="F79" s="6">
        <f t="shared" si="30"/>
        <v>0</v>
      </c>
      <c r="G79" s="2"/>
      <c r="H79" s="7">
        <v>50</v>
      </c>
      <c r="I79" s="2"/>
      <c r="J79" s="6">
        <f t="shared" si="31"/>
        <v>1.0029084344599338E-3</v>
      </c>
      <c r="K79" s="2"/>
      <c r="L79" s="7">
        <f t="shared" si="32"/>
        <v>-50</v>
      </c>
      <c r="M79" s="2"/>
      <c r="N79" s="6">
        <f t="shared" si="33"/>
        <v>-1</v>
      </c>
      <c r="O79" s="11"/>
      <c r="P79" s="7"/>
      <c r="Q79" s="2"/>
      <c r="R79" s="6">
        <f t="shared" si="34"/>
        <v>0</v>
      </c>
      <c r="S79" s="2"/>
      <c r="T79" s="7">
        <v>500</v>
      </c>
      <c r="U79" s="2"/>
      <c r="V79" s="6">
        <f t="shared" si="35"/>
        <v>1.0584138609879236E-3</v>
      </c>
      <c r="W79" s="2"/>
      <c r="X79" s="7">
        <f t="shared" si="36"/>
        <v>-500</v>
      </c>
      <c r="Y79" s="2"/>
      <c r="Z79" s="6">
        <f t="shared" si="37"/>
        <v>-1</v>
      </c>
    </row>
    <row r="80" spans="1:26" s="25" customFormat="1" outlineLevel="1" collapsed="1" x14ac:dyDescent="0.25">
      <c r="A80" s="27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SUM(OSRRefD22_8x_0)</f>
        <v>94.83</v>
      </c>
      <c r="E80" s="1"/>
      <c r="F80" s="5">
        <f t="shared" si="30"/>
        <v>2.2043794229095995E-3</v>
      </c>
      <c r="G80" s="1"/>
      <c r="H80" s="1">
        <f>SUM(OSRRefH22_8x_0)</f>
        <v>250</v>
      </c>
      <c r="I80" s="1"/>
      <c r="J80" s="5">
        <f t="shared" si="31"/>
        <v>5.0145421722996688E-3</v>
      </c>
      <c r="K80" s="1"/>
      <c r="L80" s="1">
        <f t="shared" si="32"/>
        <v>-155.17000000000002</v>
      </c>
      <c r="M80" s="1"/>
      <c r="N80" s="5">
        <f t="shared" si="33"/>
        <v>-0.62068000000000001</v>
      </c>
      <c r="O80" s="13"/>
      <c r="P80" s="1">
        <f>SUM(OSRRefP22_8x_0)</f>
        <v>1380.29</v>
      </c>
      <c r="Q80" s="1"/>
      <c r="R80" s="5">
        <f t="shared" si="34"/>
        <v>5.4924929218431659E-3</v>
      </c>
      <c r="S80" s="1"/>
      <c r="T80" s="1">
        <f>SUM(OSRRefT22_8x_0)</f>
        <v>2000</v>
      </c>
      <c r="U80" s="1"/>
      <c r="V80" s="5">
        <f t="shared" si="35"/>
        <v>4.2336554439516942E-3</v>
      </c>
      <c r="W80" s="1"/>
      <c r="X80" s="1">
        <f t="shared" si="36"/>
        <v>-619.71</v>
      </c>
      <c r="Y80" s="1"/>
      <c r="Z80" s="5">
        <f t="shared" si="37"/>
        <v>-0.30985499999999999</v>
      </c>
    </row>
    <row r="81" spans="1:26" s="24" customFormat="1" hidden="1" outlineLevel="2" x14ac:dyDescent="0.25">
      <c r="A81" s="26"/>
      <c r="B81" s="11" t="str">
        <f>CONCATENATE("          ", "6276", " - ", "PROPERTY TAX")</f>
        <v xml:space="preserve">          6276 - PROPERTY TAX</v>
      </c>
      <c r="C81" s="11"/>
      <c r="D81" s="7"/>
      <c r="E81" s="2"/>
      <c r="F81" s="6">
        <f t="shared" si="30"/>
        <v>0</v>
      </c>
      <c r="G81" s="2"/>
      <c r="H81" s="7"/>
      <c r="I81" s="2"/>
      <c r="J81" s="6">
        <f t="shared" si="31"/>
        <v>0</v>
      </c>
      <c r="K81" s="2"/>
      <c r="L81" s="7">
        <f t="shared" si="32"/>
        <v>0</v>
      </c>
      <c r="M81" s="2"/>
      <c r="N81" s="6">
        <f t="shared" si="33"/>
        <v>0</v>
      </c>
      <c r="O81" s="11"/>
      <c r="P81" s="7"/>
      <c r="Q81" s="2"/>
      <c r="R81" s="6">
        <f t="shared" si="34"/>
        <v>0</v>
      </c>
      <c r="S81" s="2"/>
      <c r="T81" s="7">
        <v>150</v>
      </c>
      <c r="U81" s="2"/>
      <c r="V81" s="6">
        <f t="shared" si="35"/>
        <v>3.1752415829637706E-4</v>
      </c>
      <c r="W81" s="2"/>
      <c r="X81" s="7">
        <f t="shared" si="36"/>
        <v>-150</v>
      </c>
      <c r="Y81" s="2"/>
      <c r="Z81" s="6">
        <f t="shared" si="37"/>
        <v>-1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7">
        <v>94.83</v>
      </c>
      <c r="E82" s="2"/>
      <c r="F82" s="6">
        <f t="shared" si="30"/>
        <v>2.2043794229095995E-3</v>
      </c>
      <c r="G82" s="2"/>
      <c r="H82" s="7">
        <v>250</v>
      </c>
      <c r="I82" s="2"/>
      <c r="J82" s="6">
        <f t="shared" si="31"/>
        <v>5.0145421722996688E-3</v>
      </c>
      <c r="K82" s="2"/>
      <c r="L82" s="7">
        <f t="shared" si="32"/>
        <v>-155.17000000000002</v>
      </c>
      <c r="M82" s="2"/>
      <c r="N82" s="6">
        <f t="shared" si="33"/>
        <v>-0.62068000000000001</v>
      </c>
      <c r="O82" s="11"/>
      <c r="P82" s="7">
        <v>1380.29</v>
      </c>
      <c r="Q82" s="2"/>
      <c r="R82" s="6">
        <f t="shared" si="34"/>
        <v>5.4924929218431659E-3</v>
      </c>
      <c r="S82" s="2"/>
      <c r="T82" s="7">
        <v>1850</v>
      </c>
      <c r="U82" s="2"/>
      <c r="V82" s="6">
        <f t="shared" si="35"/>
        <v>3.9161312856553169E-3</v>
      </c>
      <c r="W82" s="2"/>
      <c r="X82" s="7">
        <f t="shared" si="36"/>
        <v>-469.71000000000004</v>
      </c>
      <c r="Y82" s="2"/>
      <c r="Z82" s="6">
        <f t="shared" si="37"/>
        <v>-0.25389729729729732</v>
      </c>
    </row>
    <row r="83" spans="1:26" s="25" customFormat="1" outlineLevel="1" collapsed="1" x14ac:dyDescent="0.25">
      <c r="A83" s="27"/>
      <c r="B83" s="13" t="str">
        <f>CONCATENATE("     ","Insurance                                         ")</f>
        <v xml:space="preserve">     Insurance                                         </v>
      </c>
      <c r="C83" s="13"/>
      <c r="D83" s="1">
        <f>SUM(OSRRefD22_9x_0)</f>
        <v>161.18</v>
      </c>
      <c r="E83" s="1"/>
      <c r="F83" s="5">
        <f t="shared" ref="F83:F94" si="38">IF(D$12=0,0,D83/D$12)</f>
        <v>3.7467244056160424E-3</v>
      </c>
      <c r="G83" s="1"/>
      <c r="H83" s="1">
        <f>SUM(OSRRefH22_9x_0)</f>
        <v>176</v>
      </c>
      <c r="I83" s="1"/>
      <c r="J83" s="5">
        <f t="shared" ref="J83:J94" si="39">IF(H$12=0,0,H83/H$12)</f>
        <v>3.5302376892989672E-3</v>
      </c>
      <c r="K83" s="1"/>
      <c r="L83" s="1">
        <f t="shared" ref="L83:L94" si="40">+D83-H83</f>
        <v>-14.819999999999993</v>
      </c>
      <c r="M83" s="1"/>
      <c r="N83" s="5">
        <f t="shared" ref="N83:N94" si="41">IF(H83=0,0,L83/H83)</f>
        <v>-8.4204545454545421E-2</v>
      </c>
      <c r="O83" s="13"/>
      <c r="P83" s="1">
        <f>SUM(OSRRefP22_9x_0)</f>
        <v>1611.8</v>
      </c>
      <c r="Q83" s="1"/>
      <c r="R83" s="5">
        <f t="shared" ref="R83:R94" si="42">IF(P$12=0,0,P83/P$12)</f>
        <v>6.4137247183032658E-3</v>
      </c>
      <c r="S83" s="1"/>
      <c r="T83" s="1">
        <f>SUM(OSRRefT22_9x_0)</f>
        <v>1760</v>
      </c>
      <c r="U83" s="1"/>
      <c r="V83" s="5">
        <f t="shared" ref="V83:V94" si="43">IF(T$12=0,0,T83/T$12)</f>
        <v>3.7256167906774907E-3</v>
      </c>
      <c r="W83" s="1"/>
      <c r="X83" s="1">
        <f t="shared" ref="X83:X94" si="44">+P83-T83</f>
        <v>-148.20000000000005</v>
      </c>
      <c r="Y83" s="1"/>
      <c r="Z83" s="5">
        <f t="shared" ref="Z83:Z94" si="45">IF(T83=0,0,X83/T83)</f>
        <v>-8.4204545454545476E-2</v>
      </c>
    </row>
    <row r="84" spans="1:26" s="24" customFormat="1" hidden="1" outlineLevel="2" x14ac:dyDescent="0.25">
      <c r="A84" s="26"/>
      <c r="B84" s="11" t="str">
        <f>CONCATENATE("          ", "6314", " - ", "LIABILITY INSURANCE")</f>
        <v xml:space="preserve">          6314 - LIABILITY INSURANCE</v>
      </c>
      <c r="C84" s="11"/>
      <c r="D84" s="7">
        <v>161.18</v>
      </c>
      <c r="E84" s="2"/>
      <c r="F84" s="6">
        <f t="shared" si="38"/>
        <v>3.7467244056160424E-3</v>
      </c>
      <c r="G84" s="2"/>
      <c r="H84" s="7">
        <v>176</v>
      </c>
      <c r="I84" s="2"/>
      <c r="J84" s="6">
        <f t="shared" si="39"/>
        <v>3.5302376892989672E-3</v>
      </c>
      <c r="K84" s="2"/>
      <c r="L84" s="7">
        <f t="shared" si="40"/>
        <v>-14.819999999999993</v>
      </c>
      <c r="M84" s="2"/>
      <c r="N84" s="6">
        <f t="shared" si="41"/>
        <v>-8.4204545454545421E-2</v>
      </c>
      <c r="O84" s="11"/>
      <c r="P84" s="7">
        <v>1611.8</v>
      </c>
      <c r="Q84" s="2"/>
      <c r="R84" s="6">
        <f t="shared" si="42"/>
        <v>6.4137247183032658E-3</v>
      </c>
      <c r="S84" s="2"/>
      <c r="T84" s="7">
        <v>1760</v>
      </c>
      <c r="U84" s="2"/>
      <c r="V84" s="6">
        <f t="shared" si="43"/>
        <v>3.7256167906774907E-3</v>
      </c>
      <c r="W84" s="2"/>
      <c r="X84" s="7">
        <f t="shared" si="44"/>
        <v>-148.20000000000005</v>
      </c>
      <c r="Y84" s="2"/>
      <c r="Z84" s="6">
        <f t="shared" si="45"/>
        <v>-8.4204545454545476E-2</v>
      </c>
    </row>
    <row r="85" spans="1:26" s="25" customFormat="1" outlineLevel="1" collapsed="1" x14ac:dyDescent="0.25">
      <c r="A85" s="27"/>
      <c r="B85" s="13" t="str">
        <f>CONCATENATE("     ","Inventory Adjustment                              ")</f>
        <v xml:space="preserve">     Inventory Adjustment                              </v>
      </c>
      <c r="C85" s="13"/>
      <c r="D85" s="1">
        <f>SUM(OSRRefD22_10x_0)</f>
        <v>100</v>
      </c>
      <c r="E85" s="1"/>
      <c r="F85" s="5">
        <f t="shared" si="38"/>
        <v>2.3245591299268162E-3</v>
      </c>
      <c r="G85" s="1"/>
      <c r="H85" s="1">
        <f>SUM(OSRRefH22_10x_0)</f>
        <v>100</v>
      </c>
      <c r="I85" s="1"/>
      <c r="J85" s="5">
        <f t="shared" si="39"/>
        <v>2.0058168689198676E-3</v>
      </c>
      <c r="K85" s="1"/>
      <c r="L85" s="1">
        <f t="shared" si="40"/>
        <v>0</v>
      </c>
      <c r="M85" s="1"/>
      <c r="N85" s="5">
        <f t="shared" si="41"/>
        <v>0</v>
      </c>
      <c r="O85" s="13"/>
      <c r="P85" s="1">
        <f>SUM(OSRRefP22_10x_0)</f>
        <v>1000</v>
      </c>
      <c r="Q85" s="1"/>
      <c r="R85" s="5">
        <f t="shared" si="42"/>
        <v>3.979231119433717E-3</v>
      </c>
      <c r="S85" s="1"/>
      <c r="T85" s="1">
        <f>SUM(OSRRefT22_10x_0)</f>
        <v>1000</v>
      </c>
      <c r="U85" s="1"/>
      <c r="V85" s="5">
        <f t="shared" si="43"/>
        <v>2.1168277219758471E-3</v>
      </c>
      <c r="W85" s="1"/>
      <c r="X85" s="1">
        <f t="shared" si="44"/>
        <v>0</v>
      </c>
      <c r="Y85" s="1"/>
      <c r="Z85" s="5">
        <f t="shared" si="45"/>
        <v>0</v>
      </c>
    </row>
    <row r="86" spans="1:26" s="24" customFormat="1" hidden="1" outlineLevel="2" x14ac:dyDescent="0.25">
      <c r="A86" s="26"/>
      <c r="B86" s="11" t="str">
        <f>CONCATENATE("          ", "6408", " - ", "INVENTORY ADJUSTMENT")</f>
        <v xml:space="preserve">          6408 - INVENTORY ADJUSTMENT</v>
      </c>
      <c r="C86" s="11"/>
      <c r="D86" s="7">
        <v>100</v>
      </c>
      <c r="E86" s="2"/>
      <c r="F86" s="6">
        <f t="shared" si="38"/>
        <v>2.3245591299268162E-3</v>
      </c>
      <c r="G86" s="2"/>
      <c r="H86" s="7">
        <v>100</v>
      </c>
      <c r="I86" s="2"/>
      <c r="J86" s="6">
        <f t="shared" si="39"/>
        <v>2.0058168689198676E-3</v>
      </c>
      <c r="K86" s="2"/>
      <c r="L86" s="7">
        <f t="shared" si="40"/>
        <v>0</v>
      </c>
      <c r="M86" s="2"/>
      <c r="N86" s="6">
        <f t="shared" si="41"/>
        <v>0</v>
      </c>
      <c r="O86" s="11"/>
      <c r="P86" s="7">
        <v>1000</v>
      </c>
      <c r="Q86" s="2"/>
      <c r="R86" s="6">
        <f t="shared" si="42"/>
        <v>3.979231119433717E-3</v>
      </c>
      <c r="S86" s="2"/>
      <c r="T86" s="7">
        <v>1000</v>
      </c>
      <c r="U86" s="2"/>
      <c r="V86" s="6">
        <f t="shared" si="43"/>
        <v>2.1168277219758471E-3</v>
      </c>
      <c r="W86" s="2"/>
      <c r="X86" s="7">
        <f t="shared" si="44"/>
        <v>0</v>
      </c>
      <c r="Y86" s="2"/>
      <c r="Z86" s="6">
        <f t="shared" si="45"/>
        <v>0</v>
      </c>
    </row>
    <row r="87" spans="1:26" s="25" customFormat="1" outlineLevel="1" collapsed="1" x14ac:dyDescent="0.25">
      <c r="A87" s="27"/>
      <c r="B87" s="13" t="str">
        <f>CONCATENATE("     ","Professional Services                             ")</f>
        <v xml:space="preserve">     Professional Services                             </v>
      </c>
      <c r="C87" s="13"/>
      <c r="D87" s="1">
        <f>SUM(OSRRefD22_11x_0)</f>
        <v>0</v>
      </c>
      <c r="E87" s="1"/>
      <c r="F87" s="5">
        <f t="shared" si="38"/>
        <v>0</v>
      </c>
      <c r="G87" s="1"/>
      <c r="H87" s="1">
        <f>SUM(OSRRefH22_11x_0)</f>
        <v>0</v>
      </c>
      <c r="I87" s="1"/>
      <c r="J87" s="5">
        <f t="shared" si="39"/>
        <v>0</v>
      </c>
      <c r="K87" s="1"/>
      <c r="L87" s="1">
        <f t="shared" si="40"/>
        <v>0</v>
      </c>
      <c r="M87" s="1"/>
      <c r="N87" s="5">
        <f t="shared" si="41"/>
        <v>0</v>
      </c>
      <c r="O87" s="13"/>
      <c r="P87" s="1">
        <f>SUM(OSRRefP22_11x_0)</f>
        <v>0</v>
      </c>
      <c r="Q87" s="1"/>
      <c r="R87" s="5">
        <f t="shared" si="42"/>
        <v>0</v>
      </c>
      <c r="S87" s="1"/>
      <c r="T87" s="1">
        <f>SUM(OSRRefT22_11x_0)</f>
        <v>750</v>
      </c>
      <c r="U87" s="1"/>
      <c r="V87" s="5">
        <f t="shared" si="43"/>
        <v>1.5876207914818853E-3</v>
      </c>
      <c r="W87" s="1"/>
      <c r="X87" s="1">
        <f t="shared" si="44"/>
        <v>-750</v>
      </c>
      <c r="Y87" s="1"/>
      <c r="Z87" s="5">
        <f t="shared" si="45"/>
        <v>-1</v>
      </c>
    </row>
    <row r="88" spans="1:26" s="24" customFormat="1" hidden="1" outlineLevel="2" x14ac:dyDescent="0.25">
      <c r="A88" s="26"/>
      <c r="B88" s="11" t="str">
        <f>CONCATENATE("          ", "6336", " - ", "PROFESSIONAL SERVICES")</f>
        <v xml:space="preserve">          6336 - PROFESSIONAL SERVICES</v>
      </c>
      <c r="C88" s="11"/>
      <c r="D88" s="7"/>
      <c r="E88" s="2"/>
      <c r="F88" s="6">
        <f t="shared" si="38"/>
        <v>0</v>
      </c>
      <c r="G88" s="2"/>
      <c r="H88" s="7">
        <v>0</v>
      </c>
      <c r="I88" s="2"/>
      <c r="J88" s="6">
        <f t="shared" si="39"/>
        <v>0</v>
      </c>
      <c r="K88" s="2"/>
      <c r="L88" s="7">
        <f t="shared" si="40"/>
        <v>0</v>
      </c>
      <c r="M88" s="2"/>
      <c r="N88" s="6">
        <f t="shared" si="41"/>
        <v>0</v>
      </c>
      <c r="O88" s="11"/>
      <c r="P88" s="7"/>
      <c r="Q88" s="2"/>
      <c r="R88" s="6">
        <f t="shared" si="42"/>
        <v>0</v>
      </c>
      <c r="S88" s="2"/>
      <c r="T88" s="7">
        <v>750</v>
      </c>
      <c r="U88" s="2"/>
      <c r="V88" s="6">
        <f t="shared" si="43"/>
        <v>1.5876207914818853E-3</v>
      </c>
      <c r="W88" s="2"/>
      <c r="X88" s="7">
        <f t="shared" si="44"/>
        <v>-750</v>
      </c>
      <c r="Y88" s="2"/>
      <c r="Z88" s="6">
        <f t="shared" si="45"/>
        <v>-1</v>
      </c>
    </row>
    <row r="89" spans="1:26" s="25" customFormat="1" outlineLevel="1" collapsed="1" x14ac:dyDescent="0.25">
      <c r="A89" s="27"/>
      <c r="B89" s="13" t="str">
        <f>CONCATENATE("     ","Rent                                              ")</f>
        <v xml:space="preserve">     Rent                                              </v>
      </c>
      <c r="C89" s="13"/>
      <c r="D89" s="1">
        <f>SUM(OSRRefD22_12x_0)</f>
        <v>6900</v>
      </c>
      <c r="E89" s="1"/>
      <c r="F89" s="5">
        <f t="shared" si="38"/>
        <v>0.16039457996495032</v>
      </c>
      <c r="G89" s="1"/>
      <c r="H89" s="1">
        <f>SUM(OSRRefH22_12x_0)</f>
        <v>6900</v>
      </c>
      <c r="I89" s="1"/>
      <c r="J89" s="5">
        <f t="shared" si="39"/>
        <v>0.13840136395547087</v>
      </c>
      <c r="K89" s="1"/>
      <c r="L89" s="1">
        <f t="shared" si="40"/>
        <v>0</v>
      </c>
      <c r="M89" s="1"/>
      <c r="N89" s="5">
        <f t="shared" si="41"/>
        <v>0</v>
      </c>
      <c r="O89" s="13"/>
      <c r="P89" s="1">
        <f>SUM(OSRRefP22_12x_0)</f>
        <v>69000</v>
      </c>
      <c r="Q89" s="1"/>
      <c r="R89" s="5">
        <f t="shared" si="42"/>
        <v>0.27456694724092651</v>
      </c>
      <c r="S89" s="1"/>
      <c r="T89" s="1">
        <f>SUM(OSRRefT22_12x_0)</f>
        <v>69001</v>
      </c>
      <c r="U89" s="1"/>
      <c r="V89" s="5">
        <f t="shared" si="43"/>
        <v>0.14606322964405541</v>
      </c>
      <c r="W89" s="1"/>
      <c r="X89" s="1">
        <f t="shared" si="44"/>
        <v>-1</v>
      </c>
      <c r="Y89" s="1"/>
      <c r="Z89" s="5">
        <f t="shared" si="45"/>
        <v>-1.4492543586324836E-5</v>
      </c>
    </row>
    <row r="90" spans="1:26" s="24" customFormat="1" hidden="1" outlineLevel="2" x14ac:dyDescent="0.25">
      <c r="A90" s="26"/>
      <c r="B90" s="11" t="str">
        <f>CONCATENATE("          ", "6273", " - ", "RENT")</f>
        <v xml:space="preserve">          6273 - RENT</v>
      </c>
      <c r="C90" s="11"/>
      <c r="D90" s="7">
        <v>6900</v>
      </c>
      <c r="E90" s="2"/>
      <c r="F90" s="6">
        <f t="shared" si="38"/>
        <v>0.16039457996495032</v>
      </c>
      <c r="G90" s="2"/>
      <c r="H90" s="7">
        <v>6900</v>
      </c>
      <c r="I90" s="2"/>
      <c r="J90" s="6">
        <f t="shared" si="39"/>
        <v>0.13840136395547087</v>
      </c>
      <c r="K90" s="2"/>
      <c r="L90" s="7">
        <f t="shared" si="40"/>
        <v>0</v>
      </c>
      <c r="M90" s="2"/>
      <c r="N90" s="6">
        <f t="shared" si="41"/>
        <v>0</v>
      </c>
      <c r="O90" s="11"/>
      <c r="P90" s="7">
        <v>69000</v>
      </c>
      <c r="Q90" s="2"/>
      <c r="R90" s="6">
        <f t="shared" si="42"/>
        <v>0.27456694724092651</v>
      </c>
      <c r="S90" s="2"/>
      <c r="T90" s="7">
        <v>69001</v>
      </c>
      <c r="U90" s="2"/>
      <c r="V90" s="6">
        <f t="shared" si="43"/>
        <v>0.14606322964405541</v>
      </c>
      <c r="W90" s="2"/>
      <c r="X90" s="7">
        <f t="shared" si="44"/>
        <v>-1</v>
      </c>
      <c r="Y90" s="2"/>
      <c r="Z90" s="6">
        <f t="shared" si="45"/>
        <v>-1.4492543586324836E-5</v>
      </c>
    </row>
    <row r="91" spans="1:26" s="25" customFormat="1" outlineLevel="1" collapsed="1" x14ac:dyDescent="0.25">
      <c r="A91" s="27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SUM(OSRRefD22_13x_0)</f>
        <v>0</v>
      </c>
      <c r="E91" s="1"/>
      <c r="F91" s="5">
        <f t="shared" si="38"/>
        <v>0</v>
      </c>
      <c r="G91" s="1"/>
      <c r="H91" s="1">
        <f>SUM(OSRRefH22_13x_0)</f>
        <v>100</v>
      </c>
      <c r="I91" s="1"/>
      <c r="J91" s="5">
        <f t="shared" si="39"/>
        <v>2.0058168689198676E-3</v>
      </c>
      <c r="K91" s="1"/>
      <c r="L91" s="1">
        <f t="shared" si="40"/>
        <v>-100</v>
      </c>
      <c r="M91" s="1"/>
      <c r="N91" s="5">
        <f t="shared" si="41"/>
        <v>-1</v>
      </c>
      <c r="O91" s="13"/>
      <c r="P91" s="1">
        <f>SUM(OSRRefP22_13x_0)</f>
        <v>309.70999999999998</v>
      </c>
      <c r="Q91" s="1"/>
      <c r="R91" s="5">
        <f t="shared" si="42"/>
        <v>1.2324076699998165E-3</v>
      </c>
      <c r="S91" s="1"/>
      <c r="T91" s="1">
        <f>SUM(OSRRefT22_13x_0)</f>
        <v>1000</v>
      </c>
      <c r="U91" s="1"/>
      <c r="V91" s="5">
        <f t="shared" si="43"/>
        <v>2.1168277219758471E-3</v>
      </c>
      <c r="W91" s="1"/>
      <c r="X91" s="1">
        <f t="shared" si="44"/>
        <v>-690.29</v>
      </c>
      <c r="Y91" s="1"/>
      <c r="Z91" s="5">
        <f t="shared" si="45"/>
        <v>-0.69028999999999996</v>
      </c>
    </row>
    <row r="92" spans="1:26" s="24" customFormat="1" hidden="1" outlineLevel="2" x14ac:dyDescent="0.25">
      <c r="A92" s="26"/>
      <c r="B92" s="11" t="str">
        <f>CONCATENATE("          ", "6372", " - ", "COMPUTER HARDWARE MAINTENANCE")</f>
        <v xml:space="preserve">          6372 - COMPUTER HARDWARE MAINTENANCE</v>
      </c>
      <c r="C92" s="11"/>
      <c r="D92" s="7"/>
      <c r="E92" s="2"/>
      <c r="F92" s="6">
        <f t="shared" si="38"/>
        <v>0</v>
      </c>
      <c r="G92" s="2"/>
      <c r="H92" s="7"/>
      <c r="I92" s="2"/>
      <c r="J92" s="6">
        <f t="shared" si="39"/>
        <v>0</v>
      </c>
      <c r="K92" s="2"/>
      <c r="L92" s="7">
        <f t="shared" si="40"/>
        <v>0</v>
      </c>
      <c r="M92" s="2"/>
      <c r="N92" s="6">
        <f t="shared" si="41"/>
        <v>0</v>
      </c>
      <c r="O92" s="11"/>
      <c r="P92" s="7">
        <v>-0.52</v>
      </c>
      <c r="Q92" s="2"/>
      <c r="R92" s="6">
        <f t="shared" si="42"/>
        <v>-2.0692001821055332E-6</v>
      </c>
      <c r="S92" s="2"/>
      <c r="T92" s="7"/>
      <c r="U92" s="2"/>
      <c r="V92" s="6">
        <f t="shared" si="43"/>
        <v>0</v>
      </c>
      <c r="W92" s="2"/>
      <c r="X92" s="7">
        <f t="shared" si="44"/>
        <v>-0.52</v>
      </c>
      <c r="Y92" s="2"/>
      <c r="Z92" s="6">
        <f t="shared" si="45"/>
        <v>0</v>
      </c>
    </row>
    <row r="93" spans="1:26" s="24" customFormat="1" hidden="1" outlineLevel="2" x14ac:dyDescent="0.25">
      <c r="A93" s="26"/>
      <c r="B93" s="11" t="str">
        <f>CONCATENATE("          ", "6373", " - ", "MAINTENANCE CONTRACTS")</f>
        <v xml:space="preserve">          6373 - MAINTENANCE CONTRACTS</v>
      </c>
      <c r="C93" s="11"/>
      <c r="D93" s="7"/>
      <c r="E93" s="2"/>
      <c r="F93" s="6">
        <f t="shared" si="38"/>
        <v>0</v>
      </c>
      <c r="G93" s="2"/>
      <c r="H93" s="7"/>
      <c r="I93" s="2"/>
      <c r="J93" s="6">
        <f t="shared" si="39"/>
        <v>0</v>
      </c>
      <c r="K93" s="2"/>
      <c r="L93" s="7">
        <f t="shared" si="40"/>
        <v>0</v>
      </c>
      <c r="M93" s="2"/>
      <c r="N93" s="6">
        <f t="shared" si="41"/>
        <v>0</v>
      </c>
      <c r="O93" s="11"/>
      <c r="P93" s="7">
        <v>144.66999999999999</v>
      </c>
      <c r="Q93" s="2"/>
      <c r="R93" s="6">
        <f t="shared" si="42"/>
        <v>5.7567536604847581E-4</v>
      </c>
      <c r="S93" s="2"/>
      <c r="T93" s="7"/>
      <c r="U93" s="2"/>
      <c r="V93" s="6">
        <f t="shared" si="43"/>
        <v>0</v>
      </c>
      <c r="W93" s="2"/>
      <c r="X93" s="7">
        <f t="shared" si="44"/>
        <v>144.66999999999999</v>
      </c>
      <c r="Y93" s="2"/>
      <c r="Z93" s="6">
        <f t="shared" si="45"/>
        <v>0</v>
      </c>
    </row>
    <row r="94" spans="1:26" s="24" customFormat="1" hidden="1" outlineLevel="2" x14ac:dyDescent="0.25">
      <c r="A94" s="26"/>
      <c r="B94" s="11" t="str">
        <f>CONCATENATE("          ", "6375", " - ", "OUTSIDE REPAIRS &amp; MAINTENANCE")</f>
        <v xml:space="preserve">          6375 - OUTSIDE REPAIRS &amp; MAINTENANCE</v>
      </c>
      <c r="C94" s="11"/>
      <c r="D94" s="7"/>
      <c r="E94" s="2"/>
      <c r="F94" s="6">
        <f t="shared" si="38"/>
        <v>0</v>
      </c>
      <c r="G94" s="2"/>
      <c r="H94" s="7">
        <v>100</v>
      </c>
      <c r="I94" s="2"/>
      <c r="J94" s="6">
        <f t="shared" si="39"/>
        <v>2.0058168689198676E-3</v>
      </c>
      <c r="K94" s="2"/>
      <c r="L94" s="7">
        <f t="shared" si="40"/>
        <v>-100</v>
      </c>
      <c r="M94" s="2"/>
      <c r="N94" s="6">
        <f t="shared" si="41"/>
        <v>-1</v>
      </c>
      <c r="O94" s="11"/>
      <c r="P94" s="7">
        <v>165.56</v>
      </c>
      <c r="Q94" s="2"/>
      <c r="R94" s="6">
        <f t="shared" si="42"/>
        <v>6.5880150413344623E-4</v>
      </c>
      <c r="S94" s="2"/>
      <c r="T94" s="7">
        <v>1000</v>
      </c>
      <c r="U94" s="2"/>
      <c r="V94" s="6">
        <f t="shared" si="43"/>
        <v>2.1168277219758471E-3</v>
      </c>
      <c r="W94" s="2"/>
      <c r="X94" s="7">
        <f t="shared" si="44"/>
        <v>-834.44</v>
      </c>
      <c r="Y94" s="2"/>
      <c r="Z94" s="6">
        <f t="shared" si="45"/>
        <v>-0.83444000000000007</v>
      </c>
    </row>
    <row r="95" spans="1:26" s="25" customFormat="1" outlineLevel="1" collapsed="1" x14ac:dyDescent="0.25">
      <c r="A95" s="27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SUM(OSRRefD22_14x_0)</f>
        <v>155.59</v>
      </c>
      <c r="E95" s="1"/>
      <c r="F95" s="5">
        <f t="shared" ref="F95:F98" si="46">IF(D$12=0,0,D95/D$12)</f>
        <v>3.6167815502531333E-3</v>
      </c>
      <c r="G95" s="1"/>
      <c r="H95" s="1">
        <f>SUM(OSRRefH22_14x_0)</f>
        <v>255</v>
      </c>
      <c r="I95" s="1"/>
      <c r="J95" s="5">
        <f t="shared" ref="J95:J98" si="47">IF(H$12=0,0,H95/H$12)</f>
        <v>5.1148330157456626E-3</v>
      </c>
      <c r="K95" s="1"/>
      <c r="L95" s="1">
        <f t="shared" ref="L95:L98" si="48">+D95-H95</f>
        <v>-99.41</v>
      </c>
      <c r="M95" s="1"/>
      <c r="N95" s="5">
        <f t="shared" ref="N95:N98" si="49">IF(H95=0,0,L95/H95)</f>
        <v>-0.38984313725490194</v>
      </c>
      <c r="O95" s="13"/>
      <c r="P95" s="1">
        <f>SUM(OSRRefP22_14x_0)</f>
        <v>762.93</v>
      </c>
      <c r="Q95" s="1"/>
      <c r="R95" s="5">
        <f t="shared" ref="R95:R98" si="50">IF(P$12=0,0,P95/P$12)</f>
        <v>3.0358747979495658E-3</v>
      </c>
      <c r="S95" s="1"/>
      <c r="T95" s="1">
        <f>SUM(OSRRefT22_14x_0)</f>
        <v>2140</v>
      </c>
      <c r="U95" s="1"/>
      <c r="V95" s="5">
        <f t="shared" ref="V95:V98" si="51">IF(T$12=0,0,T95/T$12)</f>
        <v>4.5300113250283129E-3</v>
      </c>
      <c r="W95" s="1"/>
      <c r="X95" s="1">
        <f t="shared" ref="X95:X98" si="52">+P95-T95</f>
        <v>-1377.0700000000002</v>
      </c>
      <c r="Y95" s="1"/>
      <c r="Z95" s="5">
        <f t="shared" ref="Z95:Z98" si="53">IF(T95=0,0,X95/T95)</f>
        <v>-0.64349065420560758</v>
      </c>
    </row>
    <row r="96" spans="1:26" s="24" customFormat="1" hidden="1" outlineLevel="2" x14ac:dyDescent="0.25">
      <c r="A96" s="26"/>
      <c r="B96" s="11" t="str">
        <f>CONCATENATE("          ", "6283", " - ", "PLANT SERVICE")</f>
        <v xml:space="preserve">          6283 - PLANT SERVICE</v>
      </c>
      <c r="C96" s="11"/>
      <c r="D96" s="7"/>
      <c r="E96" s="2"/>
      <c r="F96" s="6">
        <f t="shared" si="46"/>
        <v>0</v>
      </c>
      <c r="G96" s="2"/>
      <c r="H96" s="7">
        <v>0</v>
      </c>
      <c r="I96" s="2"/>
      <c r="J96" s="6">
        <f t="shared" si="47"/>
        <v>0</v>
      </c>
      <c r="K96" s="2"/>
      <c r="L96" s="7">
        <f t="shared" si="48"/>
        <v>0</v>
      </c>
      <c r="M96" s="2"/>
      <c r="N96" s="6">
        <f t="shared" si="49"/>
        <v>0</v>
      </c>
      <c r="O96" s="11"/>
      <c r="P96" s="7">
        <v>41.31</v>
      </c>
      <c r="Q96" s="2"/>
      <c r="R96" s="6">
        <f t="shared" si="50"/>
        <v>1.6438203754380688E-4</v>
      </c>
      <c r="S96" s="2"/>
      <c r="T96" s="7">
        <v>0</v>
      </c>
      <c r="U96" s="2"/>
      <c r="V96" s="6">
        <f t="shared" si="51"/>
        <v>0</v>
      </c>
      <c r="W96" s="2"/>
      <c r="X96" s="7">
        <f t="shared" si="52"/>
        <v>41.31</v>
      </c>
      <c r="Y96" s="2"/>
      <c r="Z96" s="6">
        <f t="shared" si="53"/>
        <v>0</v>
      </c>
    </row>
    <row r="97" spans="1:26" s="24" customFormat="1" hidden="1" outlineLevel="2" x14ac:dyDescent="0.25">
      <c r="A97" s="26"/>
      <c r="B97" s="11" t="str">
        <f>CONCATENATE("          ", "6284", " - ", "TRASH REMOVAL EXPENSE")</f>
        <v xml:space="preserve">          6284 - TRASH REMOVAL EXPENSE</v>
      </c>
      <c r="C97" s="11"/>
      <c r="D97" s="7">
        <v>142.57</v>
      </c>
      <c r="E97" s="2"/>
      <c r="F97" s="6">
        <f t="shared" si="46"/>
        <v>3.3141239515366615E-3</v>
      </c>
      <c r="G97" s="2"/>
      <c r="H97" s="7">
        <v>55</v>
      </c>
      <c r="I97" s="2"/>
      <c r="J97" s="6">
        <f t="shared" si="47"/>
        <v>1.1031992779059272E-3</v>
      </c>
      <c r="K97" s="2"/>
      <c r="L97" s="7">
        <f t="shared" si="48"/>
        <v>87.57</v>
      </c>
      <c r="M97" s="2"/>
      <c r="N97" s="6">
        <f t="shared" si="49"/>
        <v>1.5921818181818181</v>
      </c>
      <c r="O97" s="11"/>
      <c r="P97" s="7">
        <v>1440.72</v>
      </c>
      <c r="Q97" s="2"/>
      <c r="R97" s="6">
        <f t="shared" si="50"/>
        <v>5.7329578583905456E-3</v>
      </c>
      <c r="S97" s="2"/>
      <c r="T97" s="7">
        <v>715</v>
      </c>
      <c r="U97" s="2"/>
      <c r="V97" s="6">
        <f t="shared" si="51"/>
        <v>1.5135318212127307E-3</v>
      </c>
      <c r="W97" s="2"/>
      <c r="X97" s="7">
        <f t="shared" si="52"/>
        <v>725.72</v>
      </c>
      <c r="Y97" s="2"/>
      <c r="Z97" s="6">
        <f t="shared" si="53"/>
        <v>1.0149930069930071</v>
      </c>
    </row>
    <row r="98" spans="1:26" s="24" customFormat="1" hidden="1" outlineLevel="2" x14ac:dyDescent="0.25">
      <c r="A98" s="26"/>
      <c r="B98" s="11" t="str">
        <f>CONCATENATE("          ", "6285", " - ", "JANITORIAL SERVICES")</f>
        <v xml:space="preserve">          6285 - JANITORIAL SERVICES</v>
      </c>
      <c r="C98" s="11"/>
      <c r="D98" s="7">
        <v>13.02</v>
      </c>
      <c r="E98" s="2"/>
      <c r="F98" s="6">
        <f t="shared" si="46"/>
        <v>3.0265759871647143E-4</v>
      </c>
      <c r="G98" s="2"/>
      <c r="H98" s="7">
        <v>200</v>
      </c>
      <c r="I98" s="2"/>
      <c r="J98" s="6">
        <f t="shared" si="47"/>
        <v>4.0116337378397352E-3</v>
      </c>
      <c r="K98" s="2"/>
      <c r="L98" s="7">
        <f t="shared" si="48"/>
        <v>-186.98</v>
      </c>
      <c r="M98" s="2"/>
      <c r="N98" s="6">
        <f t="shared" si="49"/>
        <v>-0.93489999999999995</v>
      </c>
      <c r="O98" s="11"/>
      <c r="P98" s="7">
        <v>-719.1</v>
      </c>
      <c r="Q98" s="2"/>
      <c r="R98" s="6">
        <f t="shared" si="50"/>
        <v>-2.8614650979847862E-3</v>
      </c>
      <c r="S98" s="2"/>
      <c r="T98" s="7">
        <v>1425</v>
      </c>
      <c r="U98" s="2"/>
      <c r="V98" s="6">
        <f t="shared" si="51"/>
        <v>3.016479503815582E-3</v>
      </c>
      <c r="W98" s="2"/>
      <c r="X98" s="7">
        <f t="shared" si="52"/>
        <v>-2144.1</v>
      </c>
      <c r="Y98" s="2"/>
      <c r="Z98" s="6">
        <f t="shared" si="53"/>
        <v>-1.5046315789473683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SUM(OSRRefD22_15x_0)</f>
        <v>2014.87</v>
      </c>
      <c r="E99" s="1"/>
      <c r="F99" s="5">
        <f t="shared" ref="F99:F101" si="54">IF(D$12=0,0,D99/D$12)</f>
        <v>4.6836844541156435E-2</v>
      </c>
      <c r="G99" s="1"/>
      <c r="H99" s="1">
        <f>SUM(OSRRefH22_15x_0)</f>
        <v>0</v>
      </c>
      <c r="I99" s="1"/>
      <c r="J99" s="5">
        <f t="shared" ref="J99:J101" si="55">IF(H$12=0,0,H99/H$12)</f>
        <v>0</v>
      </c>
      <c r="K99" s="1"/>
      <c r="L99" s="1">
        <f t="shared" ref="L99:L101" si="56">+D99-H99</f>
        <v>2014.87</v>
      </c>
      <c r="M99" s="1"/>
      <c r="N99" s="5">
        <f t="shared" ref="N99:N101" si="57">IF(H99=0,0,L99/H99)</f>
        <v>0</v>
      </c>
      <c r="O99" s="13"/>
      <c r="P99" s="1">
        <f>SUM(OSRRefP22_15x_0)</f>
        <v>2254.14</v>
      </c>
      <c r="Q99" s="1"/>
      <c r="R99" s="5">
        <f t="shared" ref="R99:R101" si="58">IF(P$12=0,0,P99/P$12)</f>
        <v>8.9697440355603186E-3</v>
      </c>
      <c r="S99" s="1"/>
      <c r="T99" s="1">
        <f>SUM(OSRRefT22_15x_0)</f>
        <v>395</v>
      </c>
      <c r="U99" s="1"/>
      <c r="V99" s="5">
        <f t="shared" ref="V99:V101" si="59">IF(T$12=0,0,T99/T$12)</f>
        <v>8.3614695018045956E-4</v>
      </c>
      <c r="W99" s="1"/>
      <c r="X99" s="1">
        <f t="shared" ref="X99:X101" si="60">+P99-T99</f>
        <v>1859.1399999999999</v>
      </c>
      <c r="Y99" s="1"/>
      <c r="Z99" s="5">
        <f t="shared" ref="Z99:Z101" si="61">IF(T99=0,0,X99/T99)</f>
        <v>4.7066835443037975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7"/>
      <c r="E100" s="2"/>
      <c r="F100" s="6">
        <f t="shared" si="54"/>
        <v>0</v>
      </c>
      <c r="G100" s="2"/>
      <c r="H100" s="7">
        <v>0</v>
      </c>
      <c r="I100" s="2"/>
      <c r="J100" s="6">
        <f t="shared" si="55"/>
        <v>0</v>
      </c>
      <c r="K100" s="2"/>
      <c r="L100" s="7">
        <f t="shared" si="56"/>
        <v>0</v>
      </c>
      <c r="M100" s="2"/>
      <c r="N100" s="6">
        <f t="shared" si="57"/>
        <v>0</v>
      </c>
      <c r="O100" s="11"/>
      <c r="P100" s="7">
        <v>-60.73</v>
      </c>
      <c r="Q100" s="2"/>
      <c r="R100" s="6">
        <f t="shared" si="58"/>
        <v>-2.4165870588320964E-4</v>
      </c>
      <c r="S100" s="2"/>
      <c r="T100" s="7">
        <v>395</v>
      </c>
      <c r="U100" s="2"/>
      <c r="V100" s="6">
        <f t="shared" si="59"/>
        <v>8.3614695018045956E-4</v>
      </c>
      <c r="W100" s="2"/>
      <c r="X100" s="7">
        <f t="shared" si="60"/>
        <v>-455.73</v>
      </c>
      <c r="Y100" s="2"/>
      <c r="Z100" s="6">
        <f t="shared" si="61"/>
        <v>-1.153746835443038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7">
        <v>2014.87</v>
      </c>
      <c r="E101" s="2"/>
      <c r="F101" s="6">
        <f t="shared" si="54"/>
        <v>4.6836844541156435E-2</v>
      </c>
      <c r="G101" s="2"/>
      <c r="H101" s="7">
        <v>0</v>
      </c>
      <c r="I101" s="2"/>
      <c r="J101" s="6">
        <f t="shared" si="55"/>
        <v>0</v>
      </c>
      <c r="K101" s="2"/>
      <c r="L101" s="7">
        <f t="shared" si="56"/>
        <v>2014.87</v>
      </c>
      <c r="M101" s="2"/>
      <c r="N101" s="6">
        <f t="shared" si="57"/>
        <v>0</v>
      </c>
      <c r="O101" s="11"/>
      <c r="P101" s="7">
        <v>2314.87</v>
      </c>
      <c r="Q101" s="2"/>
      <c r="R101" s="6">
        <f t="shared" si="58"/>
        <v>9.2114027414435286E-3</v>
      </c>
      <c r="S101" s="2"/>
      <c r="T101" s="7">
        <v>0</v>
      </c>
      <c r="U101" s="2"/>
      <c r="V101" s="6">
        <f t="shared" si="59"/>
        <v>0</v>
      </c>
      <c r="W101" s="2"/>
      <c r="X101" s="7">
        <f t="shared" si="60"/>
        <v>2314.87</v>
      </c>
      <c r="Y101" s="2"/>
      <c r="Z101" s="6">
        <f t="shared" si="61"/>
        <v>0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SUM(OSRRefD22_16x_0)</f>
        <v>270.08999999999997</v>
      </c>
      <c r="E102" s="1"/>
      <c r="F102" s="5">
        <f t="shared" ref="F102:F108" si="62">IF(D$12=0,0,D102/D$12)</f>
        <v>6.2784017540193368E-3</v>
      </c>
      <c r="G102" s="1"/>
      <c r="H102" s="1">
        <f>SUM(OSRRefH22_16x_0)</f>
        <v>195</v>
      </c>
      <c r="I102" s="1"/>
      <c r="J102" s="5">
        <f t="shared" ref="J102:J108" si="63">IF(H$12=0,0,H102/H$12)</f>
        <v>3.9113428943937422E-3</v>
      </c>
      <c r="K102" s="1"/>
      <c r="L102" s="1">
        <f t="shared" ref="L102:L108" si="64">+D102-H102</f>
        <v>75.089999999999975</v>
      </c>
      <c r="M102" s="1"/>
      <c r="N102" s="5">
        <f t="shared" ref="N102:N108" si="65">IF(H102=0,0,L102/H102)</f>
        <v>0.38507692307692293</v>
      </c>
      <c r="O102" s="13"/>
      <c r="P102" s="1">
        <f>SUM(OSRRefP22_16x_0)</f>
        <v>829.24</v>
      </c>
      <c r="Q102" s="1"/>
      <c r="R102" s="5">
        <f t="shared" ref="R102:R108" si="66">IF(P$12=0,0,P102/P$12)</f>
        <v>3.2997376134792158E-3</v>
      </c>
      <c r="S102" s="1"/>
      <c r="T102" s="1">
        <f>SUM(OSRRefT22_16x_0)</f>
        <v>1780</v>
      </c>
      <c r="U102" s="1"/>
      <c r="V102" s="5">
        <f t="shared" ref="V102:V108" si="67">IF(T$12=0,0,T102/T$12)</f>
        <v>3.7679533451170076E-3</v>
      </c>
      <c r="W102" s="1"/>
      <c r="X102" s="1">
        <f t="shared" ref="X102:X108" si="68">+P102-T102</f>
        <v>-950.76</v>
      </c>
      <c r="Y102" s="1"/>
      <c r="Z102" s="5">
        <f t="shared" ref="Z102:Z108" si="69">IF(T102=0,0,X102/T102)</f>
        <v>-0.5341348314606742</v>
      </c>
    </row>
    <row r="103" spans="1:26" s="24" customFormat="1" hidden="1" outlineLevel="2" x14ac:dyDescent="0.25">
      <c r="A103" s="26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/>
      <c r="E103" s="2"/>
      <c r="F103" s="6">
        <f t="shared" si="62"/>
        <v>0</v>
      </c>
      <c r="G103" s="2"/>
      <c r="H103" s="7">
        <v>0</v>
      </c>
      <c r="I103" s="2"/>
      <c r="J103" s="6">
        <f t="shared" si="63"/>
        <v>0</v>
      </c>
      <c r="K103" s="2"/>
      <c r="L103" s="7">
        <f t="shared" si="64"/>
        <v>0</v>
      </c>
      <c r="M103" s="2"/>
      <c r="N103" s="6">
        <f t="shared" si="65"/>
        <v>0</v>
      </c>
      <c r="O103" s="11"/>
      <c r="P103" s="7"/>
      <c r="Q103" s="2"/>
      <c r="R103" s="6">
        <f t="shared" si="66"/>
        <v>0</v>
      </c>
      <c r="S103" s="2"/>
      <c r="T103" s="7">
        <v>0</v>
      </c>
      <c r="U103" s="2"/>
      <c r="V103" s="6">
        <f t="shared" si="67"/>
        <v>0</v>
      </c>
      <c r="W103" s="2"/>
      <c r="X103" s="7">
        <f t="shared" si="68"/>
        <v>0</v>
      </c>
      <c r="Y103" s="2"/>
      <c r="Z103" s="6">
        <f t="shared" si="69"/>
        <v>0</v>
      </c>
    </row>
    <row r="104" spans="1:26" s="24" customFormat="1" hidden="1" outlineLevel="2" x14ac:dyDescent="0.25">
      <c r="A104" s="26"/>
      <c r="B104" s="11" t="str">
        <f>CONCATENATE("          ", "6235", " - ", "COVID-19 EXPENSES")</f>
        <v xml:space="preserve">          6235 - COVID-19 EXPENSES</v>
      </c>
      <c r="C104" s="11"/>
      <c r="D104" s="7"/>
      <c r="E104" s="2"/>
      <c r="F104" s="6">
        <f t="shared" si="62"/>
        <v>0</v>
      </c>
      <c r="G104" s="2"/>
      <c r="H104" s="7">
        <v>100</v>
      </c>
      <c r="I104" s="2"/>
      <c r="J104" s="6">
        <f t="shared" si="63"/>
        <v>2.0058168689198676E-3</v>
      </c>
      <c r="K104" s="2"/>
      <c r="L104" s="7">
        <f t="shared" si="64"/>
        <v>-100</v>
      </c>
      <c r="M104" s="2"/>
      <c r="N104" s="6">
        <f t="shared" si="65"/>
        <v>-1</v>
      </c>
      <c r="O104" s="11"/>
      <c r="P104" s="7">
        <v>265.7</v>
      </c>
      <c r="Q104" s="2"/>
      <c r="R104" s="6">
        <f t="shared" si="66"/>
        <v>1.0572817084335386E-3</v>
      </c>
      <c r="S104" s="2"/>
      <c r="T104" s="7">
        <v>1000</v>
      </c>
      <c r="U104" s="2"/>
      <c r="V104" s="6">
        <f t="shared" si="67"/>
        <v>2.1168277219758471E-3</v>
      </c>
      <c r="W104" s="2"/>
      <c r="X104" s="7">
        <f t="shared" si="68"/>
        <v>-734.3</v>
      </c>
      <c r="Y104" s="2"/>
      <c r="Z104" s="6">
        <f t="shared" si="69"/>
        <v>-0.73429999999999995</v>
      </c>
    </row>
    <row r="105" spans="1:26" s="24" customFormat="1" hidden="1" outlineLevel="2" x14ac:dyDescent="0.25">
      <c r="A105" s="26"/>
      <c r="B105" s="11" t="str">
        <f>CONCATENATE("          ", "6237", " - ", "JANITORIAL SUPPLIES")</f>
        <v xml:space="preserve">          6237 - JANITORIAL SUPPLIES</v>
      </c>
      <c r="C105" s="11"/>
      <c r="D105" s="7"/>
      <c r="E105" s="2"/>
      <c r="F105" s="6">
        <f t="shared" si="62"/>
        <v>0</v>
      </c>
      <c r="G105" s="2"/>
      <c r="H105" s="7">
        <v>20</v>
      </c>
      <c r="I105" s="2"/>
      <c r="J105" s="6">
        <f t="shared" si="63"/>
        <v>4.0116337378397351E-4</v>
      </c>
      <c r="K105" s="2"/>
      <c r="L105" s="7">
        <f t="shared" si="64"/>
        <v>-20</v>
      </c>
      <c r="M105" s="2"/>
      <c r="N105" s="6">
        <f t="shared" si="65"/>
        <v>-1</v>
      </c>
      <c r="O105" s="11"/>
      <c r="P105" s="7">
        <v>191.74</v>
      </c>
      <c r="Q105" s="2"/>
      <c r="R105" s="6">
        <f t="shared" si="66"/>
        <v>7.6297777484022103E-4</v>
      </c>
      <c r="S105" s="2"/>
      <c r="T105" s="7">
        <v>180</v>
      </c>
      <c r="U105" s="2"/>
      <c r="V105" s="6">
        <f t="shared" si="67"/>
        <v>3.8102898995565244E-4</v>
      </c>
      <c r="W105" s="2"/>
      <c r="X105" s="7">
        <f t="shared" si="68"/>
        <v>11.740000000000009</v>
      </c>
      <c r="Y105" s="2"/>
      <c r="Z105" s="6">
        <f t="shared" si="69"/>
        <v>6.5222222222222279E-2</v>
      </c>
    </row>
    <row r="106" spans="1:26" s="24" customFormat="1" hidden="1" outlineLevel="2" x14ac:dyDescent="0.25">
      <c r="A106" s="26"/>
      <c r="B106" s="11" t="str">
        <f>CONCATENATE("          ", "6241", " - ", "OFFICE EXPENSE")</f>
        <v xml:space="preserve">          6241 - OFFICE EXPENSE</v>
      </c>
      <c r="C106" s="11"/>
      <c r="D106" s="7">
        <v>270.08999999999997</v>
      </c>
      <c r="E106" s="2"/>
      <c r="F106" s="6">
        <f t="shared" si="62"/>
        <v>6.2784017540193368E-3</v>
      </c>
      <c r="G106" s="2"/>
      <c r="H106" s="7">
        <v>25</v>
      </c>
      <c r="I106" s="2"/>
      <c r="J106" s="6">
        <f t="shared" si="63"/>
        <v>5.014542172299669E-4</v>
      </c>
      <c r="K106" s="2"/>
      <c r="L106" s="7">
        <f t="shared" si="64"/>
        <v>245.08999999999997</v>
      </c>
      <c r="M106" s="2"/>
      <c r="N106" s="6">
        <f t="shared" si="65"/>
        <v>9.8035999999999994</v>
      </c>
      <c r="O106" s="11"/>
      <c r="P106" s="7">
        <v>371.8</v>
      </c>
      <c r="Q106" s="2"/>
      <c r="R106" s="6">
        <f t="shared" si="66"/>
        <v>1.4794781302054562E-3</v>
      </c>
      <c r="S106" s="2"/>
      <c r="T106" s="7">
        <v>250</v>
      </c>
      <c r="U106" s="2"/>
      <c r="V106" s="6">
        <f t="shared" si="67"/>
        <v>5.2920693049396178E-4</v>
      </c>
      <c r="W106" s="2"/>
      <c r="X106" s="7">
        <f t="shared" si="68"/>
        <v>121.80000000000001</v>
      </c>
      <c r="Y106" s="2"/>
      <c r="Z106" s="6">
        <f t="shared" si="69"/>
        <v>0.48720000000000002</v>
      </c>
    </row>
    <row r="107" spans="1:26" s="24" customFormat="1" hidden="1" outlineLevel="2" x14ac:dyDescent="0.25">
      <c r="A107" s="26"/>
      <c r="B107" s="11" t="str">
        <f>CONCATENATE("          ", "6244", " - ", "SAFETY SUPPLY EXPENSE")</f>
        <v xml:space="preserve">          6244 - SAFETY SUPPLY EXPENSE</v>
      </c>
      <c r="C107" s="11"/>
      <c r="D107" s="7"/>
      <c r="E107" s="2"/>
      <c r="F107" s="6">
        <f t="shared" si="62"/>
        <v>0</v>
      </c>
      <c r="G107" s="2"/>
      <c r="H107" s="7">
        <v>25</v>
      </c>
      <c r="I107" s="2"/>
      <c r="J107" s="6">
        <f t="shared" si="63"/>
        <v>5.014542172299669E-4</v>
      </c>
      <c r="K107" s="2"/>
      <c r="L107" s="7">
        <f t="shared" si="64"/>
        <v>-25</v>
      </c>
      <c r="M107" s="2"/>
      <c r="N107" s="6">
        <f t="shared" si="65"/>
        <v>-1</v>
      </c>
      <c r="O107" s="11"/>
      <c r="P107" s="7"/>
      <c r="Q107" s="2"/>
      <c r="R107" s="6">
        <f t="shared" si="66"/>
        <v>0</v>
      </c>
      <c r="S107" s="2"/>
      <c r="T107" s="7">
        <v>100</v>
      </c>
      <c r="U107" s="2"/>
      <c r="V107" s="6">
        <f t="shared" si="67"/>
        <v>2.1168277219758469E-4</v>
      </c>
      <c r="W107" s="2"/>
      <c r="X107" s="7">
        <f t="shared" si="68"/>
        <v>-100</v>
      </c>
      <c r="Y107" s="2"/>
      <c r="Z107" s="6">
        <f t="shared" si="69"/>
        <v>-1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62"/>
        <v>0</v>
      </c>
      <c r="G108" s="2"/>
      <c r="H108" s="7">
        <v>25</v>
      </c>
      <c r="I108" s="2"/>
      <c r="J108" s="6">
        <f t="shared" si="63"/>
        <v>5.014542172299669E-4</v>
      </c>
      <c r="K108" s="2"/>
      <c r="L108" s="7">
        <f t="shared" si="64"/>
        <v>-25</v>
      </c>
      <c r="M108" s="2"/>
      <c r="N108" s="6">
        <f t="shared" si="65"/>
        <v>-1</v>
      </c>
      <c r="O108" s="11"/>
      <c r="P108" s="7"/>
      <c r="Q108" s="2"/>
      <c r="R108" s="6">
        <f t="shared" si="66"/>
        <v>0</v>
      </c>
      <c r="S108" s="2"/>
      <c r="T108" s="7">
        <v>250</v>
      </c>
      <c r="U108" s="2"/>
      <c r="V108" s="6">
        <f t="shared" si="67"/>
        <v>5.2920693049396178E-4</v>
      </c>
      <c r="W108" s="2"/>
      <c r="X108" s="7">
        <f t="shared" si="68"/>
        <v>-250</v>
      </c>
      <c r="Y108" s="2"/>
      <c r="Z108" s="6">
        <f t="shared" si="69"/>
        <v>-1</v>
      </c>
    </row>
    <row r="109" spans="1:26" s="25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SUM(OSRRefD22_17x_0)</f>
        <v>232.15</v>
      </c>
      <c r="E109" s="1"/>
      <c r="F109" s="5">
        <f t="shared" ref="F109:F111" si="70">IF(D$12=0,0,D109/D$12)</f>
        <v>5.396464020125104E-3</v>
      </c>
      <c r="G109" s="1"/>
      <c r="H109" s="1">
        <f>SUM(OSRRefH22_17x_0)</f>
        <v>230</v>
      </c>
      <c r="I109" s="1"/>
      <c r="J109" s="5">
        <f t="shared" ref="J109:J111" si="71">IF(H$12=0,0,H109/H$12)</f>
        <v>4.6133787985156958E-3</v>
      </c>
      <c r="K109" s="1"/>
      <c r="L109" s="1">
        <f t="shared" ref="L109:L111" si="72">+D109-H109</f>
        <v>2.1500000000000057</v>
      </c>
      <c r="M109" s="1"/>
      <c r="N109" s="5">
        <f t="shared" ref="N109:N111" si="73">IF(H109=0,0,L109/H109)</f>
        <v>9.3478260869565462E-3</v>
      </c>
      <c r="O109" s="13"/>
      <c r="P109" s="1">
        <f>SUM(OSRRefP22_17x_0)</f>
        <v>2790.94</v>
      </c>
      <c r="Q109" s="1"/>
      <c r="R109" s="5">
        <f t="shared" ref="R109:R111" si="74">IF(P$12=0,0,P109/P$12)</f>
        <v>1.110579530047234E-2</v>
      </c>
      <c r="S109" s="1"/>
      <c r="T109" s="1">
        <f>SUM(OSRRefT22_17x_0)</f>
        <v>2300</v>
      </c>
      <c r="U109" s="1"/>
      <c r="V109" s="5">
        <f t="shared" ref="V109:V111" si="75">IF(T$12=0,0,T109/T$12)</f>
        <v>4.868703760544448E-3</v>
      </c>
      <c r="W109" s="1"/>
      <c r="X109" s="1">
        <f t="shared" ref="X109:X111" si="76">+P109-T109</f>
        <v>490.94000000000005</v>
      </c>
      <c r="Y109" s="1"/>
      <c r="Z109" s="5">
        <f t="shared" ref="Z109:Z111" si="77">IF(T109=0,0,X109/T109)</f>
        <v>0.2134521739130435</v>
      </c>
    </row>
    <row r="110" spans="1:26" s="24" customFormat="1" hidden="1" outlineLevel="2" x14ac:dyDescent="0.25">
      <c r="A110" s="26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70"/>
        <v>0</v>
      </c>
      <c r="G110" s="2"/>
      <c r="H110" s="7">
        <v>230</v>
      </c>
      <c r="I110" s="2"/>
      <c r="J110" s="6">
        <f t="shared" si="71"/>
        <v>4.6133787985156958E-3</v>
      </c>
      <c r="K110" s="2"/>
      <c r="L110" s="7">
        <f t="shared" si="72"/>
        <v>-230</v>
      </c>
      <c r="M110" s="2"/>
      <c r="N110" s="6">
        <f t="shared" si="73"/>
        <v>-1</v>
      </c>
      <c r="O110" s="11"/>
      <c r="P110" s="7"/>
      <c r="Q110" s="2"/>
      <c r="R110" s="6">
        <f t="shared" si="74"/>
        <v>0</v>
      </c>
      <c r="S110" s="2"/>
      <c r="T110" s="7">
        <v>2300</v>
      </c>
      <c r="U110" s="2"/>
      <c r="V110" s="6">
        <f t="shared" si="75"/>
        <v>4.868703760544448E-3</v>
      </c>
      <c r="W110" s="2"/>
      <c r="X110" s="7">
        <f t="shared" si="76"/>
        <v>-2300</v>
      </c>
      <c r="Y110" s="2"/>
      <c r="Z110" s="6">
        <f t="shared" si="77"/>
        <v>-1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7">
        <v>232.15</v>
      </c>
      <c r="E111" s="2"/>
      <c r="F111" s="6">
        <f t="shared" si="70"/>
        <v>5.396464020125104E-3</v>
      </c>
      <c r="G111" s="2"/>
      <c r="H111" s="7"/>
      <c r="I111" s="2"/>
      <c r="J111" s="6">
        <f t="shared" si="71"/>
        <v>0</v>
      </c>
      <c r="K111" s="2"/>
      <c r="L111" s="7">
        <f t="shared" si="72"/>
        <v>232.15</v>
      </c>
      <c r="M111" s="2"/>
      <c r="N111" s="6">
        <f t="shared" si="73"/>
        <v>0</v>
      </c>
      <c r="O111" s="11"/>
      <c r="P111" s="7">
        <v>2790.94</v>
      </c>
      <c r="Q111" s="2"/>
      <c r="R111" s="6">
        <f t="shared" si="74"/>
        <v>1.110579530047234E-2</v>
      </c>
      <c r="S111" s="2"/>
      <c r="T111" s="7"/>
      <c r="U111" s="2"/>
      <c r="V111" s="6">
        <f t="shared" si="75"/>
        <v>0</v>
      </c>
      <c r="W111" s="2"/>
      <c r="X111" s="7">
        <f t="shared" si="76"/>
        <v>2790.94</v>
      </c>
      <c r="Y111" s="2"/>
      <c r="Z111" s="6">
        <f t="shared" si="77"/>
        <v>0</v>
      </c>
    </row>
    <row r="112" spans="1:26" s="25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SUM(OSRRefD22_18x_0)</f>
        <v>0</v>
      </c>
      <c r="E112" s="1"/>
      <c r="F112" s="5">
        <f t="shared" ref="F112:F116" si="78">IF(D$12=0,0,D112/D$12)</f>
        <v>0</v>
      </c>
      <c r="G112" s="1"/>
      <c r="H112" s="1">
        <f>SUM(OSRRefH22_18x_0)</f>
        <v>0</v>
      </c>
      <c r="I112" s="1"/>
      <c r="J112" s="5">
        <f t="shared" ref="J112:J116" si="79">IF(H$12=0,0,H112/H$12)</f>
        <v>0</v>
      </c>
      <c r="K112" s="1"/>
      <c r="L112" s="1">
        <f t="shared" ref="L112:L116" si="80">+D112-H112</f>
        <v>0</v>
      </c>
      <c r="M112" s="1"/>
      <c r="N112" s="5">
        <f t="shared" ref="N112:N116" si="81">IF(H112=0,0,L112/H112)</f>
        <v>0</v>
      </c>
      <c r="O112" s="13"/>
      <c r="P112" s="1">
        <f>SUM(OSRRefP22_18x_0)</f>
        <v>0</v>
      </c>
      <c r="Q112" s="1"/>
      <c r="R112" s="5">
        <f t="shared" ref="R112:R116" si="82">IF(P$12=0,0,P112/P$12)</f>
        <v>0</v>
      </c>
      <c r="S112" s="1"/>
      <c r="T112" s="1">
        <f>SUM(OSRRefT22_18x_0)</f>
        <v>0</v>
      </c>
      <c r="U112" s="1"/>
      <c r="V112" s="5">
        <f t="shared" ref="V112:V116" si="83">IF(T$12=0,0,T112/T$12)</f>
        <v>0</v>
      </c>
      <c r="W112" s="1"/>
      <c r="X112" s="1">
        <f t="shared" ref="X112:X116" si="84">+P112-T112</f>
        <v>0</v>
      </c>
      <c r="Y112" s="1"/>
      <c r="Z112" s="5">
        <f t="shared" ref="Z112:Z116" si="85">IF(T112=0,0,X112/T112)</f>
        <v>0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78"/>
        <v>0</v>
      </c>
      <c r="G113" s="2"/>
      <c r="H113" s="7">
        <v>0</v>
      </c>
      <c r="I113" s="2"/>
      <c r="J113" s="6">
        <f t="shared" si="79"/>
        <v>0</v>
      </c>
      <c r="K113" s="2"/>
      <c r="L113" s="7">
        <f t="shared" si="80"/>
        <v>0</v>
      </c>
      <c r="M113" s="2"/>
      <c r="N113" s="6">
        <f t="shared" si="81"/>
        <v>0</v>
      </c>
      <c r="O113" s="11"/>
      <c r="P113" s="7"/>
      <c r="Q113" s="2"/>
      <c r="R113" s="6">
        <f t="shared" si="82"/>
        <v>0</v>
      </c>
      <c r="S113" s="2"/>
      <c r="T113" s="7">
        <v>0</v>
      </c>
      <c r="U113" s="2"/>
      <c r="V113" s="6">
        <f t="shared" si="83"/>
        <v>0</v>
      </c>
      <c r="W113" s="2"/>
      <c r="X113" s="7">
        <f t="shared" si="84"/>
        <v>0</v>
      </c>
      <c r="Y113" s="2"/>
      <c r="Z113" s="6">
        <f t="shared" si="85"/>
        <v>0</v>
      </c>
    </row>
    <row r="114" spans="1:26" s="25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SUM(OSRRefD22_19x_0)</f>
        <v>25.17</v>
      </c>
      <c r="E114" s="1"/>
      <c r="F114" s="5">
        <f t="shared" si="78"/>
        <v>5.8509153300257961E-4</v>
      </c>
      <c r="G114" s="1"/>
      <c r="H114" s="1">
        <f>SUM(OSRRefH22_19x_0)</f>
        <v>25</v>
      </c>
      <c r="I114" s="1"/>
      <c r="J114" s="5">
        <f t="shared" si="79"/>
        <v>5.014542172299669E-4</v>
      </c>
      <c r="K114" s="1"/>
      <c r="L114" s="1">
        <f t="shared" si="80"/>
        <v>0.17000000000000171</v>
      </c>
      <c r="M114" s="1"/>
      <c r="N114" s="5">
        <f t="shared" si="81"/>
        <v>6.8000000000000681E-3</v>
      </c>
      <c r="O114" s="13"/>
      <c r="P114" s="1">
        <f>SUM(OSRRefP22_19x_0)</f>
        <v>499.53</v>
      </c>
      <c r="Q114" s="1"/>
      <c r="R114" s="5">
        <f t="shared" si="82"/>
        <v>1.9877453210907247E-3</v>
      </c>
      <c r="S114" s="1"/>
      <c r="T114" s="1">
        <f>SUM(OSRRefT22_19x_0)</f>
        <v>450</v>
      </c>
      <c r="U114" s="1"/>
      <c r="V114" s="5">
        <f t="shared" si="83"/>
        <v>9.5257247488913111E-4</v>
      </c>
      <c r="W114" s="1"/>
      <c r="X114" s="1">
        <f t="shared" si="84"/>
        <v>49.529999999999973</v>
      </c>
      <c r="Y114" s="1"/>
      <c r="Z114" s="5">
        <f t="shared" si="85"/>
        <v>0.1100666666666666</v>
      </c>
    </row>
    <row r="115" spans="1:26" s="24" customFormat="1" hidden="1" outlineLevel="2" x14ac:dyDescent="0.25">
      <c r="A115" s="26"/>
      <c r="B115" s="11" t="str">
        <f>CONCATENATE("          ", "6294", " - ", "TRAVEL OPERATIONAL")</f>
        <v xml:space="preserve">          6294 - TRAVEL OPERATIONAL</v>
      </c>
      <c r="C115" s="11"/>
      <c r="D115" s="7">
        <v>25.17</v>
      </c>
      <c r="E115" s="2"/>
      <c r="F115" s="6">
        <f t="shared" si="78"/>
        <v>5.8509153300257961E-4</v>
      </c>
      <c r="G115" s="2"/>
      <c r="H115" s="7"/>
      <c r="I115" s="2"/>
      <c r="J115" s="6">
        <f t="shared" si="79"/>
        <v>0</v>
      </c>
      <c r="K115" s="2"/>
      <c r="L115" s="7">
        <f t="shared" si="80"/>
        <v>25.17</v>
      </c>
      <c r="M115" s="2"/>
      <c r="N115" s="6">
        <f t="shared" si="81"/>
        <v>0</v>
      </c>
      <c r="O115" s="11"/>
      <c r="P115" s="7">
        <v>499.53</v>
      </c>
      <c r="Q115" s="2"/>
      <c r="R115" s="6">
        <f t="shared" si="82"/>
        <v>1.9877453210907247E-3</v>
      </c>
      <c r="S115" s="2"/>
      <c r="T115" s="7"/>
      <c r="U115" s="2"/>
      <c r="V115" s="6">
        <f t="shared" si="83"/>
        <v>0</v>
      </c>
      <c r="W115" s="2"/>
      <c r="X115" s="7">
        <f t="shared" si="84"/>
        <v>499.53</v>
      </c>
      <c r="Y115" s="2"/>
      <c r="Z115" s="6">
        <f t="shared" si="85"/>
        <v>0</v>
      </c>
    </row>
    <row r="116" spans="1:26" s="24" customFormat="1" hidden="1" outlineLevel="2" x14ac:dyDescent="0.25">
      <c r="A116" s="26"/>
      <c r="B116" s="11" t="str">
        <f>CONCATENATE("          ", "6298", " - ", "VEHICLE MILEAGE")</f>
        <v xml:space="preserve">          6298 - VEHICLE MILEAGE</v>
      </c>
      <c r="C116" s="11"/>
      <c r="D116" s="7"/>
      <c r="E116" s="2"/>
      <c r="F116" s="6">
        <f t="shared" si="78"/>
        <v>0</v>
      </c>
      <c r="G116" s="2"/>
      <c r="H116" s="7">
        <v>25</v>
      </c>
      <c r="I116" s="2"/>
      <c r="J116" s="6">
        <f t="shared" si="79"/>
        <v>5.014542172299669E-4</v>
      </c>
      <c r="K116" s="2"/>
      <c r="L116" s="7">
        <f t="shared" si="80"/>
        <v>-25</v>
      </c>
      <c r="M116" s="2"/>
      <c r="N116" s="6">
        <f t="shared" si="81"/>
        <v>-1</v>
      </c>
      <c r="O116" s="11"/>
      <c r="P116" s="7"/>
      <c r="Q116" s="2"/>
      <c r="R116" s="6">
        <f t="shared" si="82"/>
        <v>0</v>
      </c>
      <c r="S116" s="2"/>
      <c r="T116" s="7">
        <v>450</v>
      </c>
      <c r="U116" s="2"/>
      <c r="V116" s="6">
        <f t="shared" si="83"/>
        <v>9.5257247488913111E-4</v>
      </c>
      <c r="W116" s="2"/>
      <c r="X116" s="7">
        <f t="shared" si="84"/>
        <v>-450</v>
      </c>
      <c r="Y116" s="2"/>
      <c r="Z116" s="6">
        <f t="shared" si="85"/>
        <v>-1</v>
      </c>
    </row>
    <row r="117" spans="1:26" s="25" customFormat="1" outlineLevel="1" collapsed="1" x14ac:dyDescent="0.25">
      <c r="A117" s="27"/>
      <c r="B117" s="13" t="str">
        <f>CONCATENATE("     ","Utilities                                         ")</f>
        <v xml:space="preserve">     Utilities                                         </v>
      </c>
      <c r="C117" s="13"/>
      <c r="D117" s="1">
        <f>SUM(OSRRefD22_20x_0)</f>
        <v>28.93</v>
      </c>
      <c r="E117" s="1"/>
      <c r="F117" s="5">
        <f t="shared" ref="F117:F118" si="86">IF(D$12=0,0,D117/D$12)</f>
        <v>6.7249495628782794E-4</v>
      </c>
      <c r="G117" s="1"/>
      <c r="H117" s="1">
        <f>SUM(OSRRefH22_20x_0)</f>
        <v>105</v>
      </c>
      <c r="I117" s="1"/>
      <c r="J117" s="5">
        <f t="shared" ref="J117:J118" si="87">IF(H$12=0,0,H117/H$12)</f>
        <v>2.106107712365861E-3</v>
      </c>
      <c r="K117" s="1"/>
      <c r="L117" s="1">
        <f t="shared" ref="L117:L118" si="88">+D117-H117</f>
        <v>-76.069999999999993</v>
      </c>
      <c r="M117" s="1"/>
      <c r="N117" s="5">
        <f t="shared" ref="N117:N118" si="89">IF(H117=0,0,L117/H117)</f>
        <v>-0.72447619047619038</v>
      </c>
      <c r="O117" s="13"/>
      <c r="P117" s="1">
        <f>SUM(OSRRefP22_20x_0)</f>
        <v>264.52999999999997</v>
      </c>
      <c r="Q117" s="1"/>
      <c r="R117" s="5">
        <f t="shared" ref="R117:R118" si="90">IF(P$12=0,0,P117/P$12)</f>
        <v>1.0526260080238011E-3</v>
      </c>
      <c r="S117" s="1"/>
      <c r="T117" s="1">
        <f>SUM(OSRRefT22_20x_0)</f>
        <v>4030</v>
      </c>
      <c r="U117" s="1"/>
      <c r="V117" s="5">
        <f t="shared" ref="V117:V118" si="91">IF(T$12=0,0,T117/T$12)</f>
        <v>8.5308157195626635E-3</v>
      </c>
      <c r="W117" s="1"/>
      <c r="X117" s="1">
        <f t="shared" ref="X117:X118" si="92">+P117-T117</f>
        <v>-3765.4700000000003</v>
      </c>
      <c r="Y117" s="1"/>
      <c r="Z117" s="5">
        <f t="shared" ref="Z117:Z118" si="93">IF(T117=0,0,X117/T117)</f>
        <v>-0.9343598014888338</v>
      </c>
    </row>
    <row r="118" spans="1:26" s="24" customFormat="1" hidden="1" outlineLevel="2" x14ac:dyDescent="0.25">
      <c r="A118" s="26"/>
      <c r="B118" s="11" t="str">
        <f>CONCATENATE("          ", "6274", " - ", "UTILITIES")</f>
        <v xml:space="preserve">          6274 - UTILITIES</v>
      </c>
      <c r="C118" s="11"/>
      <c r="D118" s="7">
        <v>28.93</v>
      </c>
      <c r="E118" s="2"/>
      <c r="F118" s="6">
        <f t="shared" si="86"/>
        <v>6.7249495628782794E-4</v>
      </c>
      <c r="G118" s="2"/>
      <c r="H118" s="7">
        <v>105</v>
      </c>
      <c r="I118" s="2"/>
      <c r="J118" s="6">
        <f t="shared" si="87"/>
        <v>2.106107712365861E-3</v>
      </c>
      <c r="K118" s="2"/>
      <c r="L118" s="7">
        <f t="shared" si="88"/>
        <v>-76.069999999999993</v>
      </c>
      <c r="M118" s="2"/>
      <c r="N118" s="6">
        <f t="shared" si="89"/>
        <v>-0.72447619047619038</v>
      </c>
      <c r="O118" s="11"/>
      <c r="P118" s="7">
        <v>264.52999999999997</v>
      </c>
      <c r="Q118" s="2"/>
      <c r="R118" s="6">
        <f t="shared" si="90"/>
        <v>1.0526260080238011E-3</v>
      </c>
      <c r="S118" s="2"/>
      <c r="T118" s="7">
        <v>4030</v>
      </c>
      <c r="U118" s="2"/>
      <c r="V118" s="6">
        <f t="shared" si="91"/>
        <v>8.5308157195626635E-3</v>
      </c>
      <c r="W118" s="2"/>
      <c r="X118" s="7">
        <f t="shared" si="92"/>
        <v>-3765.4700000000003</v>
      </c>
      <c r="Y118" s="2"/>
      <c r="Z118" s="6">
        <f t="shared" si="93"/>
        <v>-0.9343598014888338</v>
      </c>
    </row>
    <row r="119" spans="1:26" s="61" customFormat="1" x14ac:dyDescent="0.25">
      <c r="A119" s="36"/>
      <c r="B119" s="36"/>
      <c r="C119" s="36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6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x14ac:dyDescent="0.25">
      <c r="A120" s="10"/>
      <c r="B120" s="29" t="s">
        <v>293</v>
      </c>
      <c r="C120" s="10"/>
      <c r="D120" s="4">
        <f>SUM(0)</f>
        <v>0</v>
      </c>
      <c r="E120" s="4"/>
      <c r="F120" s="12">
        <f>IF(D$12=0,0,D120/D$12)</f>
        <v>0</v>
      </c>
      <c r="G120" s="4"/>
      <c r="H120" s="4">
        <f>SUM(0)</f>
        <v>0</v>
      </c>
      <c r="I120" s="4"/>
      <c r="J120" s="12">
        <f>IF(H$12=0,0,H120/H$12)</f>
        <v>0</v>
      </c>
      <c r="K120" s="4"/>
      <c r="L120" s="4">
        <f>+D120-H120</f>
        <v>0</v>
      </c>
      <c r="M120" s="4"/>
      <c r="N120" s="12">
        <f>IF(H120=0,0,L120/H120)</f>
        <v>0</v>
      </c>
      <c r="O120" s="10"/>
      <c r="P120" s="4">
        <f>SUM(0)</f>
        <v>0</v>
      </c>
      <c r="Q120" s="4"/>
      <c r="R120" s="12">
        <f>IF(P$12=0,0,P120/P$12)</f>
        <v>0</v>
      </c>
      <c r="S120" s="4"/>
      <c r="T120" s="4">
        <f>SUM(0)</f>
        <v>0</v>
      </c>
      <c r="U120" s="4"/>
      <c r="V120" s="12">
        <f>IF(T$12=0,0,T120/T$12)</f>
        <v>0</v>
      </c>
      <c r="W120" s="4"/>
      <c r="X120" s="4">
        <f>+P120-T120</f>
        <v>0</v>
      </c>
      <c r="Y120" s="4"/>
      <c r="Z120" s="12">
        <f>IF(T120=0,0,X120/T120)</f>
        <v>0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277</v>
      </c>
      <c r="C122" s="28"/>
      <c r="D122" s="21">
        <f>+D44-D46+D120</f>
        <v>1221.239999999998</v>
      </c>
      <c r="E122" s="14"/>
      <c r="F122" s="20">
        <f>IF(D$12=0,0,D122/D$12)</f>
        <v>2.8388445918318201E-2</v>
      </c>
      <c r="G122" s="14"/>
      <c r="H122" s="21">
        <f>+H44-H46+H120</f>
        <v>634.77654769230867</v>
      </c>
      <c r="I122" s="14"/>
      <c r="J122" s="20">
        <f>IF(H$12=0,0,H122/H$12)</f>
        <v>1.2732455073559495E-2</v>
      </c>
      <c r="K122" s="16"/>
      <c r="L122" s="21">
        <f>+D122-H122</f>
        <v>586.46345230768929</v>
      </c>
      <c r="M122" s="16"/>
      <c r="N122" s="20">
        <f>IF(H122=0,0,L122/H122)</f>
        <v>0.92388960247466811</v>
      </c>
      <c r="O122" s="29"/>
      <c r="P122" s="21">
        <f>+P44-P46+P120</f>
        <v>-76375.680000000022</v>
      </c>
      <c r="Q122" s="14"/>
      <c r="R122" s="20">
        <f>IF(P$12=0,0,P122/P$12)</f>
        <v>-0.30391648262391147</v>
      </c>
      <c r="S122" s="14"/>
      <c r="T122" s="21">
        <f>+T44-T46+T120</f>
        <v>7607.8692716923542</v>
      </c>
      <c r="U122" s="14"/>
      <c r="V122" s="20">
        <f>IF(T$12=0,0,T122/T$12)</f>
        <v>1.6104548579486573E-2</v>
      </c>
      <c r="W122" s="16"/>
      <c r="X122" s="21">
        <f>+P122-T122</f>
        <v>-83983.549271692376</v>
      </c>
      <c r="Y122" s="16"/>
      <c r="Z122" s="20">
        <f>IF(T122=0,0,X122/T122)</f>
        <v>-11.039036854140162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128</v>
      </c>
      <c r="C124" s="10"/>
      <c r="D124" s="4">
        <v>9648.0300000000007</v>
      </c>
      <c r="E124" s="4"/>
      <c r="F124" s="12">
        <f>IF(D$12=0,0,D124/D$12)</f>
        <v>0.22427416222307822</v>
      </c>
      <c r="G124" s="4"/>
      <c r="H124" s="4">
        <v>10851</v>
      </c>
      <c r="I124" s="4"/>
      <c r="J124" s="12">
        <f>IF(H$12=0,0,H124/H$12)</f>
        <v>0.21765118844649484</v>
      </c>
      <c r="K124" s="4"/>
      <c r="L124" s="4">
        <f>+D124-H124</f>
        <v>-1202.9699999999993</v>
      </c>
      <c r="M124" s="4"/>
      <c r="N124" s="12">
        <f>IF(H124=0,0,L124/H124)</f>
        <v>-0.11086259330937234</v>
      </c>
      <c r="O124" s="10"/>
      <c r="P124" s="4">
        <v>52573.99</v>
      </c>
      <c r="Q124" s="4"/>
      <c r="R124" s="12">
        <f>IF(P$12=0,0,P124/P$12)</f>
        <v>0.20920405708079706</v>
      </c>
      <c r="S124" s="4"/>
      <c r="T124" s="4">
        <v>85575</v>
      </c>
      <c r="U124" s="4"/>
      <c r="V124" s="12">
        <f>IF(T$12=0,0,T124/T$12)</f>
        <v>0.18114753230808311</v>
      </c>
      <c r="W124" s="4"/>
      <c r="X124" s="4">
        <f>+P124-T124</f>
        <v>-33001.01</v>
      </c>
      <c r="Y124" s="4"/>
      <c r="Z124" s="12">
        <f>IF(T124=0,0,X124/T124)</f>
        <v>-0.38563844580777096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126</v>
      </c>
      <c r="C126" s="28"/>
      <c r="D126" s="31">
        <f>+D122-D124</f>
        <v>-8426.7900000000027</v>
      </c>
      <c r="E126" s="14"/>
      <c r="F126" s="33">
        <f>IF(D$12=0,0,D126/D$12)</f>
        <v>-0.19588571630476001</v>
      </c>
      <c r="G126" s="14"/>
      <c r="H126" s="31">
        <f>+H122-H124</f>
        <v>-10216.223452307691</v>
      </c>
      <c r="I126" s="14"/>
      <c r="J126" s="33">
        <f>IF(H$12=0,0,H126/H$12)</f>
        <v>-0.20491873337293534</v>
      </c>
      <c r="K126" s="16"/>
      <c r="L126" s="31">
        <f>D126-H126</f>
        <v>1789.4334523076886</v>
      </c>
      <c r="M126" s="16"/>
      <c r="N126" s="33">
        <f>IF(H126=0,0,L126/H126)</f>
        <v>-0.17515606042304044</v>
      </c>
      <c r="O126" s="29"/>
      <c r="P126" s="31">
        <f>+P122-P124</f>
        <v>-128949.67000000001</v>
      </c>
      <c r="Q126" s="14"/>
      <c r="R126" s="33">
        <f>IF(P$12=0,0,P126/P$12)</f>
        <v>-0.5131205397047085</v>
      </c>
      <c r="S126" s="14"/>
      <c r="T126" s="31">
        <f>+T122-T124</f>
        <v>-77967.130728307646</v>
      </c>
      <c r="U126" s="14"/>
      <c r="V126" s="33">
        <f>IF(T$12=0,0,T126/T$12)</f>
        <v>-0.16504298372859652</v>
      </c>
      <c r="W126" s="16"/>
      <c r="X126" s="31">
        <f>P126-T126</f>
        <v>-50982.539271692367</v>
      </c>
      <c r="Y126" s="16"/>
      <c r="Z126" s="33">
        <f>IF(T126=0,0,X126/T126)</f>
        <v>0.65389785151067592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294</v>
      </c>
      <c r="C129" s="28"/>
      <c r="D129" s="34">
        <f>SUM(D126:D128)</f>
        <v>-8426.7900000000027</v>
      </c>
      <c r="E129" s="14"/>
      <c r="F129" s="35">
        <f>IF(D$12=0,0,D129/D$12)</f>
        <v>-0.19588571630476001</v>
      </c>
      <c r="G129" s="14"/>
      <c r="H129" s="34">
        <f>SUM(H126:H128)</f>
        <v>-10216.223452307691</v>
      </c>
      <c r="I129" s="14"/>
      <c r="J129" s="35">
        <f>IF(H$12=0,0,H129/H$12)</f>
        <v>-0.20491873337293534</v>
      </c>
      <c r="K129" s="16"/>
      <c r="L129" s="34">
        <f>+D129-H129</f>
        <v>1789.4334523076886</v>
      </c>
      <c r="M129" s="16"/>
      <c r="N129" s="35">
        <f>IF(H129=0,0,L129/H129)</f>
        <v>-0.17515606042304044</v>
      </c>
      <c r="O129" s="29"/>
      <c r="P129" s="34">
        <f>SUM(P126:P128)</f>
        <v>-128949.67000000001</v>
      </c>
      <c r="Q129" s="14"/>
      <c r="R129" s="35">
        <f>IF(P$12=0,0,P129/P$12)</f>
        <v>-0.5131205397047085</v>
      </c>
      <c r="S129" s="14"/>
      <c r="T129" s="34">
        <f>SUM(T126:T128)</f>
        <v>-77967.130728307646</v>
      </c>
      <c r="U129" s="14"/>
      <c r="V129" s="35">
        <f>IF(T$12=0,0,T129/T$12)</f>
        <v>-0.16504298372859652</v>
      </c>
      <c r="W129" s="16"/>
      <c r="X129" s="34">
        <f>+P129-T129</f>
        <v>-50982.539271692367</v>
      </c>
      <c r="Y129" s="16"/>
      <c r="Z129" s="35">
        <f>IF(T129=0,0,X129/T129)</f>
        <v>0.65389785151067592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6" x14ac:dyDescent="0.25">
      <c r="A131" s="9"/>
      <c r="B131" s="62">
        <v>44330.0058283912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6" t="s">
        <v>56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5"/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125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3702.45</v>
      </c>
      <c r="E12" s="4"/>
      <c r="F12" s="12"/>
      <c r="G12" s="4"/>
      <c r="H12" s="4">
        <f>SUM(OSRRefH13x_0)</f>
        <v>42500</v>
      </c>
      <c r="I12" s="4"/>
      <c r="J12" s="12"/>
      <c r="K12" s="4"/>
      <c r="L12" s="4">
        <f t="shared" ref="L12:L24" si="0">+D12-H12</f>
        <v>-38797.550000000003</v>
      </c>
      <c r="M12" s="4"/>
      <c r="N12" s="12">
        <f t="shared" ref="N12:N24" si="1">IF(H12=0,0,L12/H12)</f>
        <v>-0.91288352941176476</v>
      </c>
      <c r="O12" s="10"/>
      <c r="P12" s="4">
        <f>SUM(OSRRefP13x_0)</f>
        <v>114697.48</v>
      </c>
      <c r="Q12" s="4"/>
      <c r="R12" s="12"/>
      <c r="S12" s="4"/>
      <c r="T12" s="4">
        <f>SUM(OSRRefT13x_0)</f>
        <v>344713</v>
      </c>
      <c r="U12" s="4"/>
      <c r="V12" s="12"/>
      <c r="W12" s="4"/>
      <c r="X12" s="4">
        <f t="shared" ref="X12:X24" si="2">+P12-T12</f>
        <v>-230015.52000000002</v>
      </c>
      <c r="Y12" s="4"/>
      <c r="Z12" s="12">
        <f t="shared" ref="Z12:Z24" si="3">IF(T12=0,0,X12/T12)</f>
        <v>-0.66726674073794723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13500</v>
      </c>
      <c r="I13" s="2"/>
      <c r="J13" s="19"/>
      <c r="K13" s="2"/>
      <c r="L13" s="2">
        <f t="shared" si="0"/>
        <v>-13500</v>
      </c>
      <c r="M13" s="2"/>
      <c r="N13" s="19">
        <f t="shared" si="1"/>
        <v>-1</v>
      </c>
      <c r="O13" s="11"/>
      <c r="P13" s="2">
        <f>-9.28</f>
        <v>-9.2799999999999994</v>
      </c>
      <c r="Q13" s="2"/>
      <c r="R13" s="19"/>
      <c r="S13" s="2"/>
      <c r="T13" s="2">
        <v>237213</v>
      </c>
      <c r="U13" s="2"/>
      <c r="V13" s="19"/>
      <c r="W13" s="2"/>
      <c r="X13" s="2">
        <f t="shared" si="2"/>
        <v>-237222.28</v>
      </c>
      <c r="Y13" s="2"/>
      <c r="Z13" s="19">
        <f t="shared" si="3"/>
        <v>-1.0000391209588007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--262.2</f>
        <v>262.2</v>
      </c>
      <c r="E14" s="2"/>
      <c r="F14" s="19"/>
      <c r="G14" s="2"/>
      <c r="H14" s="2"/>
      <c r="I14" s="2"/>
      <c r="J14" s="19"/>
      <c r="K14" s="2"/>
      <c r="L14" s="2">
        <f t="shared" si="0"/>
        <v>262.2</v>
      </c>
      <c r="M14" s="2"/>
      <c r="N14" s="19">
        <f t="shared" si="1"/>
        <v>0</v>
      </c>
      <c r="O14" s="11"/>
      <c r="P14" s="2">
        <f>--92920.17</f>
        <v>92920.17</v>
      </c>
      <c r="Q14" s="2"/>
      <c r="R14" s="19"/>
      <c r="S14" s="2"/>
      <c r="T14" s="2"/>
      <c r="U14" s="2"/>
      <c r="V14" s="19"/>
      <c r="W14" s="2"/>
      <c r="X14" s="2">
        <f t="shared" si="2"/>
        <v>92920.17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--1279.89</f>
        <v>1279.8900000000001</v>
      </c>
      <c r="E15" s="2"/>
      <c r="F15" s="19"/>
      <c r="G15" s="2"/>
      <c r="H15" s="2"/>
      <c r="I15" s="2"/>
      <c r="J15" s="19"/>
      <c r="K15" s="2"/>
      <c r="L15" s="2">
        <f t="shared" si="0"/>
        <v>1279.8900000000001</v>
      </c>
      <c r="M15" s="2"/>
      <c r="N15" s="19">
        <f t="shared" si="1"/>
        <v>0</v>
      </c>
      <c r="O15" s="11"/>
      <c r="P15" s="2">
        <f>--17099.84</f>
        <v>17099.84</v>
      </c>
      <c r="Q15" s="2"/>
      <c r="R15" s="19"/>
      <c r="S15" s="2"/>
      <c r="T15" s="2"/>
      <c r="U15" s="2"/>
      <c r="V15" s="19"/>
      <c r="W15" s="2"/>
      <c r="X15" s="2">
        <f t="shared" si="2"/>
        <v>17099.84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--52.68</f>
        <v>52.68</v>
      </c>
      <c r="Q16" s="2"/>
      <c r="R16" s="19"/>
      <c r="S16" s="2"/>
      <c r="T16" s="2"/>
      <c r="U16" s="2"/>
      <c r="V16" s="19"/>
      <c r="W16" s="2"/>
      <c r="X16" s="2">
        <f t="shared" si="2"/>
        <v>52.68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--2119.46</f>
        <v>2119.46</v>
      </c>
      <c r="E17" s="2"/>
      <c r="F17" s="19"/>
      <c r="G17" s="2"/>
      <c r="H17" s="2"/>
      <c r="I17" s="2"/>
      <c r="J17" s="19"/>
      <c r="K17" s="2"/>
      <c r="L17" s="2">
        <f t="shared" si="0"/>
        <v>2119.46</v>
      </c>
      <c r="M17" s="2"/>
      <c r="N17" s="19">
        <f t="shared" si="1"/>
        <v>0</v>
      </c>
      <c r="O17" s="11"/>
      <c r="P17" s="2">
        <f>--3034.59</f>
        <v>3034.59</v>
      </c>
      <c r="Q17" s="2"/>
      <c r="R17" s="19"/>
      <c r="S17" s="2"/>
      <c r="T17" s="2"/>
      <c r="U17" s="2"/>
      <c r="V17" s="19"/>
      <c r="W17" s="2"/>
      <c r="X17" s="2">
        <f t="shared" si="2"/>
        <v>3034.59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19"/>
      <c r="G18" s="2"/>
      <c r="H18" s="2">
        <v>29000</v>
      </c>
      <c r="I18" s="2"/>
      <c r="J18" s="19"/>
      <c r="K18" s="2"/>
      <c r="L18" s="2">
        <f t="shared" si="0"/>
        <v>-29000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107500</v>
      </c>
      <c r="U18" s="2"/>
      <c r="V18" s="19"/>
      <c r="W18" s="2"/>
      <c r="X18" s="2">
        <f t="shared" si="2"/>
        <v>-107500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--0.6</f>
        <v>0.6</v>
      </c>
      <c r="E19" s="2"/>
      <c r="F19" s="19"/>
      <c r="G19" s="2"/>
      <c r="H19" s="2"/>
      <c r="I19" s="2"/>
      <c r="J19" s="19"/>
      <c r="K19" s="2"/>
      <c r="L19" s="2">
        <f t="shared" si="0"/>
        <v>0.6</v>
      </c>
      <c r="M19" s="2"/>
      <c r="N19" s="19">
        <f t="shared" si="1"/>
        <v>0</v>
      </c>
      <c r="O19" s="11"/>
      <c r="P19" s="2">
        <f>--1279.24</f>
        <v>1279.24</v>
      </c>
      <c r="Q19" s="2"/>
      <c r="R19" s="19"/>
      <c r="S19" s="2"/>
      <c r="T19" s="2"/>
      <c r="U19" s="2"/>
      <c r="V19" s="19"/>
      <c r="W19" s="2"/>
      <c r="X19" s="2">
        <f t="shared" si="2"/>
        <v>1279.24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--22.1</f>
        <v>22.1</v>
      </c>
      <c r="E20" s="2"/>
      <c r="F20" s="19"/>
      <c r="G20" s="2"/>
      <c r="H20" s="2"/>
      <c r="I20" s="2"/>
      <c r="J20" s="19"/>
      <c r="K20" s="2"/>
      <c r="L20" s="2">
        <f t="shared" si="0"/>
        <v>22.1</v>
      </c>
      <c r="M20" s="2"/>
      <c r="N20" s="19">
        <f t="shared" si="1"/>
        <v>0</v>
      </c>
      <c r="O20" s="11"/>
      <c r="P20" s="2">
        <f>--1132.69</f>
        <v>1132.69</v>
      </c>
      <c r="Q20" s="2"/>
      <c r="R20" s="19"/>
      <c r="S20" s="2"/>
      <c r="T20" s="2"/>
      <c r="U20" s="2"/>
      <c r="V20" s="19"/>
      <c r="W20" s="2"/>
      <c r="X20" s="2">
        <f t="shared" si="2"/>
        <v>1132.69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--30.2</f>
        <v>30.2</v>
      </c>
      <c r="E21" s="2"/>
      <c r="F21" s="19"/>
      <c r="G21" s="2"/>
      <c r="H21" s="2"/>
      <c r="I21" s="2"/>
      <c r="J21" s="19"/>
      <c r="K21" s="2"/>
      <c r="L21" s="2">
        <f t="shared" si="0"/>
        <v>30.2</v>
      </c>
      <c r="M21" s="2"/>
      <c r="N21" s="19">
        <f t="shared" si="1"/>
        <v>0</v>
      </c>
      <c r="O21" s="11"/>
      <c r="P21" s="2">
        <f>--329.3</f>
        <v>329.3</v>
      </c>
      <c r="Q21" s="2"/>
      <c r="R21" s="19"/>
      <c r="S21" s="2"/>
      <c r="T21" s="2"/>
      <c r="U21" s="2"/>
      <c r="V21" s="19"/>
      <c r="W21" s="2"/>
      <c r="X21" s="2">
        <f t="shared" si="2"/>
        <v>329.3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--11</f>
        <v>11</v>
      </c>
      <c r="E22" s="2"/>
      <c r="F22" s="19"/>
      <c r="G22" s="2"/>
      <c r="H22" s="2"/>
      <c r="I22" s="2"/>
      <c r="J22" s="19"/>
      <c r="K22" s="2"/>
      <c r="L22" s="2">
        <f t="shared" si="0"/>
        <v>11</v>
      </c>
      <c r="M22" s="2"/>
      <c r="N22" s="19">
        <f t="shared" si="1"/>
        <v>0</v>
      </c>
      <c r="O22" s="11"/>
      <c r="P22" s="2">
        <f>--154.5</f>
        <v>154.5</v>
      </c>
      <c r="Q22" s="2"/>
      <c r="R22" s="19"/>
      <c r="S22" s="2"/>
      <c r="T22" s="2"/>
      <c r="U22" s="2"/>
      <c r="V22" s="19"/>
      <c r="W22" s="2"/>
      <c r="X22" s="2">
        <f t="shared" si="2"/>
        <v>154.5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-23</f>
        <v>-23</v>
      </c>
      <c r="E23" s="2"/>
      <c r="F23" s="19"/>
      <c r="G23" s="2"/>
      <c r="H23" s="2"/>
      <c r="I23" s="2"/>
      <c r="J23" s="19"/>
      <c r="K23" s="2"/>
      <c r="L23" s="2">
        <f t="shared" si="0"/>
        <v>-23</v>
      </c>
      <c r="M23" s="2"/>
      <c r="N23" s="19">
        <f t="shared" si="1"/>
        <v>0</v>
      </c>
      <c r="O23" s="11"/>
      <c r="P23" s="2">
        <f>-1285.05</f>
        <v>-1285.05</v>
      </c>
      <c r="Q23" s="2"/>
      <c r="R23" s="19"/>
      <c r="S23" s="2"/>
      <c r="T23" s="2"/>
      <c r="U23" s="2"/>
      <c r="V23" s="19"/>
      <c r="W23" s="2"/>
      <c r="X23" s="2">
        <f t="shared" si="2"/>
        <v>-1285.05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-11.2</f>
        <v>-11.2</v>
      </c>
      <c r="Q24" s="2"/>
      <c r="R24" s="19"/>
      <c r="S24" s="2"/>
      <c r="T24" s="2"/>
      <c r="U24" s="2"/>
      <c r="V24" s="19"/>
      <c r="W24" s="2"/>
      <c r="X24" s="2">
        <f t="shared" si="2"/>
        <v>-11.2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257</v>
      </c>
      <c r="C26" s="10"/>
      <c r="D26" s="4">
        <f>SUM(OSRRefD16x_0)</f>
        <v>0</v>
      </c>
      <c r="E26" s="4"/>
      <c r="F26" s="12">
        <f t="shared" ref="F26:F28" si="4">IF(D$12=0,0,D26/D$12)</f>
        <v>0</v>
      </c>
      <c r="G26" s="4"/>
      <c r="H26" s="4">
        <f>SUM(OSRRefH16x_0)</f>
        <v>0</v>
      </c>
      <c r="I26" s="4"/>
      <c r="J26" s="12">
        <f t="shared" ref="J26:J28" si="5">IF(H$12=0,0,H26/H$12)</f>
        <v>0</v>
      </c>
      <c r="K26" s="4"/>
      <c r="L26" s="4">
        <f t="shared" ref="L26:L28" si="6">+D26-H26</f>
        <v>0</v>
      </c>
      <c r="M26" s="4"/>
      <c r="N26" s="12">
        <f t="shared" ref="N26:N28" si="7">IF(H26=0,0,L26/H26)</f>
        <v>0</v>
      </c>
      <c r="O26" s="10"/>
      <c r="P26" s="4">
        <f>SUM(OSRRefP16x_0)</f>
        <v>0</v>
      </c>
      <c r="Q26" s="4"/>
      <c r="R26" s="12">
        <f t="shared" ref="R26:R28" si="8">IF(P$12=0,0,P26/P$12)</f>
        <v>0</v>
      </c>
      <c r="S26" s="4"/>
      <c r="T26" s="4">
        <f>SUM(OSRRefT16x_0)</f>
        <v>0</v>
      </c>
      <c r="U26" s="4"/>
      <c r="V26" s="12">
        <f t="shared" ref="V26:V28" si="9">IF(T$12=0,0,T26/T$12)</f>
        <v>0</v>
      </c>
      <c r="W26" s="4"/>
      <c r="X26" s="4">
        <f t="shared" ref="X26:X28" si="10">+P26-T26</f>
        <v>0</v>
      </c>
      <c r="Y26" s="4"/>
      <c r="Z26" s="12">
        <f t="shared" ref="Z26:Z28" si="11">IF(T26=0,0,X26/T26)</f>
        <v>0</v>
      </c>
    </row>
    <row r="27" spans="1:26" s="24" customFormat="1" hidden="1" outlineLevel="1" x14ac:dyDescent="0.25">
      <c r="A27" s="44"/>
      <c r="B27" s="11" t="str">
        <f>CONCATENATE("          ", "5092", " - ", "PURCHASES @ COST-GRAD MERCH")</f>
        <v xml:space="preserve">          5092 - PURCHASES @ COST-GRAD MERCH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"5592", " - ", "FREIGHT-IN-GRAD MERCH")</f>
        <v xml:space="preserve">          5592 - FREIGHT-IN-GRAD MERCH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108</v>
      </c>
      <c r="C30" s="28"/>
      <c r="D30" s="21">
        <f>D12-D26</f>
        <v>3702.45</v>
      </c>
      <c r="E30" s="14"/>
      <c r="F30" s="20">
        <f>IF(D$12=0,0,D30/D$12)</f>
        <v>1</v>
      </c>
      <c r="G30" s="14"/>
      <c r="H30" s="21">
        <f>H12-H26</f>
        <v>42500</v>
      </c>
      <c r="I30" s="14"/>
      <c r="J30" s="20">
        <f>IF(H$12=0,0,H30/H$12)</f>
        <v>1</v>
      </c>
      <c r="K30" s="16"/>
      <c r="L30" s="21">
        <f>+D30-H30</f>
        <v>-38797.550000000003</v>
      </c>
      <c r="M30" s="16"/>
      <c r="N30" s="20">
        <f>IF(H30=0,0,L30/H30)</f>
        <v>-0.91288352941176476</v>
      </c>
      <c r="O30" s="29"/>
      <c r="P30" s="21">
        <f>P12-P26</f>
        <v>114697.48</v>
      </c>
      <c r="Q30" s="14"/>
      <c r="R30" s="20">
        <f>IF(P$12=0,0,P30/P$12)</f>
        <v>1</v>
      </c>
      <c r="S30" s="14"/>
      <c r="T30" s="21">
        <f>T12-T26</f>
        <v>344713</v>
      </c>
      <c r="U30" s="14"/>
      <c r="V30" s="20">
        <f>IF(T$12=0,0,T30/T$12)</f>
        <v>1</v>
      </c>
      <c r="W30" s="16"/>
      <c r="X30" s="21">
        <f>+P30-T30</f>
        <v>-230015.52000000002</v>
      </c>
      <c r="Y30" s="16"/>
      <c r="Z30" s="20">
        <f>IF(T30=0,0,X30/T30)</f>
        <v>-0.66726674073794723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295</v>
      </c>
      <c r="C32" s="10"/>
      <c r="D32" s="22">
        <f>SUM(OSRRefD22x_0)</f>
        <v>15294.86</v>
      </c>
      <c r="E32" s="22"/>
      <c r="F32" s="32">
        <f t="shared" ref="F32:F42" si="12">IF(D$12=0,0,D32/D$12)</f>
        <v>4.1310105470701837</v>
      </c>
      <c r="G32" s="22"/>
      <c r="H32" s="22">
        <f>SUM(OSRRefH22x_0)</f>
        <v>40434.082026740405</v>
      </c>
      <c r="I32" s="22"/>
      <c r="J32" s="32">
        <f t="shared" ref="J32:J42" si="13">IF(H$12=0,0,H32/H$12)</f>
        <v>0.95139016533506837</v>
      </c>
      <c r="K32" s="4"/>
      <c r="L32" s="22">
        <f t="shared" ref="L32:L42" si="14">+D32-H32</f>
        <v>-25139.222026740405</v>
      </c>
      <c r="M32" s="4"/>
      <c r="N32" s="32">
        <f t="shared" ref="N32:N42" si="15">IF(H32=0,0,L32/H32)</f>
        <v>-0.62173346757606618</v>
      </c>
      <c r="O32" s="10"/>
      <c r="P32" s="22">
        <f>SUM(OSRRefP22x_0)</f>
        <v>272559.77000000008</v>
      </c>
      <c r="Q32" s="22"/>
      <c r="R32" s="32">
        <f t="shared" ref="R32:R42" si="16">IF(P$12=0,0,P32/P$12)</f>
        <v>2.3763361671067238</v>
      </c>
      <c r="S32" s="22"/>
      <c r="T32" s="22">
        <f>SUM(OSRRefT22x_0)</f>
        <v>318990.72357691522</v>
      </c>
      <c r="U32" s="22"/>
      <c r="V32" s="32">
        <f t="shared" ref="V32:V42" si="17">IF(T$12=0,0,T32/T$12)</f>
        <v>0.92538060234721409</v>
      </c>
      <c r="W32" s="4"/>
      <c r="X32" s="22">
        <f t="shared" ref="X32:X42" si="18">+P32-T32</f>
        <v>-46430.953576915141</v>
      </c>
      <c r="Y32" s="4"/>
      <c r="Z32" s="32">
        <f t="shared" ref="Z32:Z42" si="19">IF(T32=0,0,X32/T32)</f>
        <v>-0.14555581132979148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10512.210000000001</v>
      </c>
      <c r="E33" s="1"/>
      <c r="F33" s="5">
        <f t="shared" si="12"/>
        <v>2.839257788761496</v>
      </c>
      <c r="G33" s="1"/>
      <c r="H33" s="1">
        <f>SUM(OSRRefH22_0x_0)</f>
        <v>7338.1963248173006</v>
      </c>
      <c r="I33" s="1"/>
      <c r="J33" s="5">
        <f t="shared" si="13"/>
        <v>0.17266344293687766</v>
      </c>
      <c r="K33" s="1"/>
      <c r="L33" s="1">
        <f t="shared" si="14"/>
        <v>3174.0136751827004</v>
      </c>
      <c r="M33" s="1"/>
      <c r="N33" s="5">
        <f t="shared" si="15"/>
        <v>0.43253321861237121</v>
      </c>
      <c r="O33" s="13"/>
      <c r="P33" s="1">
        <f>SUM(OSRRefP22_0x_0)</f>
        <v>94898.33</v>
      </c>
      <c r="Q33" s="1"/>
      <c r="R33" s="5">
        <f t="shared" si="16"/>
        <v>0.82737938095937247</v>
      </c>
      <c r="S33" s="1"/>
      <c r="T33" s="1">
        <f>SUM(OSRRefT22_0x_0)</f>
        <v>67690.129399992191</v>
      </c>
      <c r="U33" s="1"/>
      <c r="V33" s="5">
        <f t="shared" si="17"/>
        <v>0.19636662789042533</v>
      </c>
      <c r="W33" s="1"/>
      <c r="X33" s="1">
        <f t="shared" si="18"/>
        <v>27208.200600007811</v>
      </c>
      <c r="Y33" s="1"/>
      <c r="Z33" s="5">
        <f t="shared" si="19"/>
        <v>0.40195226159533609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7">
        <v>1823.33</v>
      </c>
      <c r="E34" s="2"/>
      <c r="F34" s="6">
        <f t="shared" si="12"/>
        <v>0.49246579967318937</v>
      </c>
      <c r="G34" s="2"/>
      <c r="H34" s="7">
        <v>1301.96978922115</v>
      </c>
      <c r="I34" s="2"/>
      <c r="J34" s="6">
        <f t="shared" si="13"/>
        <v>3.0634583275791764E-2</v>
      </c>
      <c r="K34" s="2"/>
      <c r="L34" s="7">
        <f t="shared" si="14"/>
        <v>521.36021077884993</v>
      </c>
      <c r="M34" s="2"/>
      <c r="N34" s="6">
        <f t="shared" si="15"/>
        <v>0.40043956095996075</v>
      </c>
      <c r="O34" s="11"/>
      <c r="P34" s="7">
        <v>13291.02</v>
      </c>
      <c r="Q34" s="2"/>
      <c r="R34" s="6">
        <f t="shared" si="16"/>
        <v>0.1158789190486138</v>
      </c>
      <c r="S34" s="2"/>
      <c r="T34" s="7">
        <v>11487.5634951461</v>
      </c>
      <c r="U34" s="2"/>
      <c r="V34" s="6">
        <f t="shared" si="17"/>
        <v>3.3325008036094082E-2</v>
      </c>
      <c r="W34" s="2"/>
      <c r="X34" s="7">
        <f t="shared" si="18"/>
        <v>1803.4565048539007</v>
      </c>
      <c r="Y34" s="2"/>
      <c r="Z34" s="6">
        <f t="shared" si="19"/>
        <v>0.15699208153373206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7">
        <v>306.89</v>
      </c>
      <c r="E35" s="2"/>
      <c r="F35" s="6">
        <f t="shared" si="12"/>
        <v>8.2888357709084523E-2</v>
      </c>
      <c r="G35" s="2"/>
      <c r="H35" s="7">
        <v>349.98330240384598</v>
      </c>
      <c r="I35" s="2"/>
      <c r="J35" s="6">
        <f t="shared" si="13"/>
        <v>8.2349012330316697E-3</v>
      </c>
      <c r="K35" s="2"/>
      <c r="L35" s="7">
        <f t="shared" si="14"/>
        <v>-43.093302403845996</v>
      </c>
      <c r="M35" s="2"/>
      <c r="N35" s="6">
        <f t="shared" si="15"/>
        <v>-0.12312959534886783</v>
      </c>
      <c r="O35" s="11"/>
      <c r="P35" s="7">
        <v>3337.15</v>
      </c>
      <c r="Q35" s="2"/>
      <c r="R35" s="6">
        <f t="shared" si="16"/>
        <v>2.9095233827281995E-2</v>
      </c>
      <c r="S35" s="2"/>
      <c r="T35" s="7">
        <v>3014.7941111538498</v>
      </c>
      <c r="U35" s="2"/>
      <c r="V35" s="6">
        <f t="shared" si="17"/>
        <v>8.7458091547282808E-3</v>
      </c>
      <c r="W35" s="2"/>
      <c r="X35" s="7">
        <f t="shared" si="18"/>
        <v>322.35588884615026</v>
      </c>
      <c r="Y35" s="2"/>
      <c r="Z35" s="6">
        <f t="shared" si="19"/>
        <v>0.10692467775942924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7">
        <v>3421.48</v>
      </c>
      <c r="E36" s="2"/>
      <c r="F36" s="6">
        <f t="shared" si="12"/>
        <v>0.92411241205147943</v>
      </c>
      <c r="G36" s="2"/>
      <c r="H36" s="7">
        <v>2645</v>
      </c>
      <c r="I36" s="2"/>
      <c r="J36" s="6">
        <f t="shared" si="13"/>
        <v>6.2235294117647062E-2</v>
      </c>
      <c r="K36" s="2"/>
      <c r="L36" s="7">
        <f t="shared" si="14"/>
        <v>776.48</v>
      </c>
      <c r="M36" s="2"/>
      <c r="N36" s="6">
        <f t="shared" si="15"/>
        <v>0.29356521739130437</v>
      </c>
      <c r="O36" s="11"/>
      <c r="P36" s="7">
        <v>36057.25</v>
      </c>
      <c r="Q36" s="2"/>
      <c r="R36" s="6">
        <f t="shared" si="16"/>
        <v>0.31436828429011693</v>
      </c>
      <c r="S36" s="2"/>
      <c r="T36" s="7">
        <v>26450</v>
      </c>
      <c r="U36" s="2"/>
      <c r="V36" s="6">
        <f t="shared" si="17"/>
        <v>7.6730497544333975E-2</v>
      </c>
      <c r="W36" s="2"/>
      <c r="X36" s="7">
        <f t="shared" si="18"/>
        <v>9607.25</v>
      </c>
      <c r="Y36" s="2"/>
      <c r="Z36" s="6">
        <f t="shared" si="19"/>
        <v>0.36322306238185254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7">
        <v>43.13</v>
      </c>
      <c r="E37" s="2"/>
      <c r="F37" s="6">
        <f t="shared" si="12"/>
        <v>1.1649043201123581E-2</v>
      </c>
      <c r="G37" s="2"/>
      <c r="H37" s="7">
        <v>53.822850500000001</v>
      </c>
      <c r="I37" s="2"/>
      <c r="J37" s="6">
        <f t="shared" si="13"/>
        <v>1.2664200117647058E-3</v>
      </c>
      <c r="K37" s="2"/>
      <c r="L37" s="7">
        <f t="shared" si="14"/>
        <v>-10.692850499999999</v>
      </c>
      <c r="M37" s="2"/>
      <c r="N37" s="6">
        <f t="shared" si="15"/>
        <v>-0.19866748789159724</v>
      </c>
      <c r="O37" s="11"/>
      <c r="P37" s="7">
        <v>468.99</v>
      </c>
      <c r="Q37" s="2"/>
      <c r="R37" s="6">
        <f t="shared" si="16"/>
        <v>4.088930288616629E-3</v>
      </c>
      <c r="S37" s="2"/>
      <c r="T37" s="7">
        <v>464.28242599999999</v>
      </c>
      <c r="U37" s="2"/>
      <c r="V37" s="6">
        <f t="shared" si="17"/>
        <v>1.3468665991709045E-3</v>
      </c>
      <c r="W37" s="2"/>
      <c r="X37" s="7">
        <f t="shared" si="18"/>
        <v>4.7075740000000224</v>
      </c>
      <c r="Y37" s="2"/>
      <c r="Z37" s="6">
        <f t="shared" si="19"/>
        <v>1.0139461966195598E-2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7">
        <v>1596.69</v>
      </c>
      <c r="E38" s="2"/>
      <c r="F38" s="6">
        <f t="shared" si="12"/>
        <v>0.43125227889640649</v>
      </c>
      <c r="G38" s="2"/>
      <c r="H38" s="7">
        <v>1239.9085557692299</v>
      </c>
      <c r="I38" s="2"/>
      <c r="J38" s="6">
        <f t="shared" si="13"/>
        <v>2.9174318959275997E-2</v>
      </c>
      <c r="K38" s="2"/>
      <c r="L38" s="7">
        <f t="shared" si="14"/>
        <v>356.78144423077015</v>
      </c>
      <c r="M38" s="2"/>
      <c r="N38" s="6">
        <f t="shared" si="15"/>
        <v>0.28774819124417256</v>
      </c>
      <c r="O38" s="11"/>
      <c r="P38" s="7">
        <v>17311.48</v>
      </c>
      <c r="Q38" s="2"/>
      <c r="R38" s="6">
        <f t="shared" si="16"/>
        <v>0.15093165080871873</v>
      </c>
      <c r="S38" s="2"/>
      <c r="T38" s="7">
        <v>10911.195290769199</v>
      </c>
      <c r="U38" s="2"/>
      <c r="V38" s="6">
        <f t="shared" si="17"/>
        <v>3.1652984630023237E-2</v>
      </c>
      <c r="W38" s="2"/>
      <c r="X38" s="7">
        <f t="shared" si="18"/>
        <v>6400.2847092308002</v>
      </c>
      <c r="Y38" s="2"/>
      <c r="Z38" s="6">
        <f t="shared" si="19"/>
        <v>0.58657961283539661</v>
      </c>
    </row>
    <row r="39" spans="1:26" s="24" customFormat="1" hidden="1" outlineLevel="2" x14ac:dyDescent="0.25">
      <c r="A39" s="26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7">
        <v>1824.15</v>
      </c>
      <c r="E40" s="2"/>
      <c r="F40" s="6">
        <f t="shared" si="12"/>
        <v>0.49268727464246653</v>
      </c>
      <c r="G40" s="2"/>
      <c r="H40" s="7">
        <v>1195.7663557692299</v>
      </c>
      <c r="I40" s="2"/>
      <c r="J40" s="6">
        <f t="shared" si="13"/>
        <v>2.8135678959275996E-2</v>
      </c>
      <c r="K40" s="2"/>
      <c r="L40" s="7">
        <f t="shared" si="14"/>
        <v>628.38364423077019</v>
      </c>
      <c r="M40" s="2"/>
      <c r="N40" s="6">
        <f t="shared" si="15"/>
        <v>0.52550704508368151</v>
      </c>
      <c r="O40" s="11"/>
      <c r="P40" s="7">
        <v>13139.88</v>
      </c>
      <c r="Q40" s="2"/>
      <c r="R40" s="6">
        <f t="shared" si="16"/>
        <v>0.11456119175416932</v>
      </c>
      <c r="S40" s="2"/>
      <c r="T40" s="7">
        <v>10522.7439307692</v>
      </c>
      <c r="U40" s="2"/>
      <c r="V40" s="6">
        <f t="shared" si="17"/>
        <v>3.0526101222666972E-2</v>
      </c>
      <c r="W40" s="2"/>
      <c r="X40" s="7">
        <f t="shared" si="18"/>
        <v>2617.136069230799</v>
      </c>
      <c r="Y40" s="2"/>
      <c r="Z40" s="6">
        <f t="shared" si="19"/>
        <v>0.24871232127754433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7">
        <v>1107.75</v>
      </c>
      <c r="E41" s="2"/>
      <c r="F41" s="6">
        <f t="shared" si="12"/>
        <v>0.29919377709354616</v>
      </c>
      <c r="G41" s="2"/>
      <c r="H41" s="7">
        <v>551.74547115384598</v>
      </c>
      <c r="I41" s="2"/>
      <c r="J41" s="6">
        <f t="shared" si="13"/>
        <v>1.2982246380090493E-2</v>
      </c>
      <c r="K41" s="2"/>
      <c r="L41" s="7">
        <f t="shared" si="14"/>
        <v>556.00452884615402</v>
      </c>
      <c r="M41" s="2"/>
      <c r="N41" s="6">
        <f t="shared" si="15"/>
        <v>1.0077192435914357</v>
      </c>
      <c r="O41" s="11"/>
      <c r="P41" s="7">
        <v>8017.52</v>
      </c>
      <c r="Q41" s="2"/>
      <c r="R41" s="6">
        <f t="shared" si="16"/>
        <v>6.9901448575853634E-2</v>
      </c>
      <c r="S41" s="2"/>
      <c r="T41" s="7">
        <v>4839.5501461538497</v>
      </c>
      <c r="U41" s="2"/>
      <c r="V41" s="6">
        <f t="shared" si="17"/>
        <v>1.4039360703407907E-2</v>
      </c>
      <c r="W41" s="2"/>
      <c r="X41" s="7">
        <f t="shared" si="18"/>
        <v>3177.9698538461507</v>
      </c>
      <c r="Y41" s="2"/>
      <c r="Z41" s="6">
        <f t="shared" si="19"/>
        <v>0.6566663755662886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7">
        <v>388.79</v>
      </c>
      <c r="E42" s="2"/>
      <c r="F42" s="6">
        <f t="shared" si="12"/>
        <v>0.1050088454941998</v>
      </c>
      <c r="G42" s="2"/>
      <c r="H42" s="7"/>
      <c r="I42" s="2"/>
      <c r="J42" s="6">
        <f t="shared" si="13"/>
        <v>0</v>
      </c>
      <c r="K42" s="2"/>
      <c r="L42" s="7">
        <f t="shared" si="14"/>
        <v>388.79</v>
      </c>
      <c r="M42" s="2"/>
      <c r="N42" s="6">
        <f t="shared" si="15"/>
        <v>0</v>
      </c>
      <c r="O42" s="11"/>
      <c r="P42" s="7">
        <v>3275.04</v>
      </c>
      <c r="Q42" s="2"/>
      <c r="R42" s="6">
        <f t="shared" si="16"/>
        <v>2.8553722366001417E-2</v>
      </c>
      <c r="S42" s="2"/>
      <c r="T42" s="7"/>
      <c r="U42" s="2"/>
      <c r="V42" s="6">
        <f t="shared" si="17"/>
        <v>0</v>
      </c>
      <c r="W42" s="2"/>
      <c r="X42" s="7">
        <f t="shared" si="18"/>
        <v>3275.04</v>
      </c>
      <c r="Y42" s="2"/>
      <c r="Z42" s="6">
        <f t="shared" si="19"/>
        <v>0</v>
      </c>
    </row>
    <row r="43" spans="1:26" s="25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16035.06</v>
      </c>
      <c r="E43" s="1"/>
      <c r="F43" s="5">
        <f t="shared" ref="F43:F53" si="20">IF(D$12=0,0,D43/D$12)</f>
        <v>4.3309322205566589</v>
      </c>
      <c r="G43" s="1"/>
      <c r="H43" s="1">
        <f>SUM(OSRRefH22_1x_0)</f>
        <v>12746.8857019231</v>
      </c>
      <c r="I43" s="1"/>
      <c r="J43" s="5">
        <f t="shared" ref="J43:J53" si="21">IF(H$12=0,0,H43/H$12)</f>
        <v>0.29992672239819057</v>
      </c>
      <c r="K43" s="1"/>
      <c r="L43" s="1">
        <f t="shared" ref="L43:L53" si="22">+D43-H43</f>
        <v>3288.1742980768995</v>
      </c>
      <c r="M43" s="1"/>
      <c r="N43" s="5">
        <f t="shared" ref="N43:N53" si="23">IF(H43=0,0,L43/H43)</f>
        <v>0.25795903210937388</v>
      </c>
      <c r="O43" s="13"/>
      <c r="P43" s="1">
        <f>SUM(OSRRefP22_1x_0)</f>
        <v>154853.63</v>
      </c>
      <c r="Q43" s="1"/>
      <c r="R43" s="5">
        <f t="shared" ref="R43:R53" si="24">IF(P$12=0,0,P43/P$12)</f>
        <v>1.3501049020431837</v>
      </c>
      <c r="S43" s="1"/>
      <c r="T43" s="1">
        <f>SUM(OSRRefT22_1x_0)</f>
        <v>112172.594176923</v>
      </c>
      <c r="U43" s="1"/>
      <c r="V43" s="5">
        <f t="shared" ref="V43:V53" si="25">IF(T$12=0,0,T43/T$12)</f>
        <v>0.32540865640960159</v>
      </c>
      <c r="W43" s="1"/>
      <c r="X43" s="1">
        <f t="shared" ref="X43:X53" si="26">+P43-T43</f>
        <v>42681.035823077007</v>
      </c>
      <c r="Y43" s="1"/>
      <c r="Z43" s="5">
        <f t="shared" ref="Z43:Z53" si="27">IF(T43=0,0,X43/T43)</f>
        <v>0.38049432783696535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7">
        <v>15385.34</v>
      </c>
      <c r="E45" s="2"/>
      <c r="F45" s="6">
        <f t="shared" si="20"/>
        <v>4.1554484192899297</v>
      </c>
      <c r="G45" s="2"/>
      <c r="H45" s="7">
        <v>12746.8857019231</v>
      </c>
      <c r="I45" s="2"/>
      <c r="J45" s="6">
        <f t="shared" si="21"/>
        <v>0.29992672239819057</v>
      </c>
      <c r="K45" s="2"/>
      <c r="L45" s="7">
        <f t="shared" si="22"/>
        <v>2638.4542980769002</v>
      </c>
      <c r="M45" s="2"/>
      <c r="N45" s="6">
        <f t="shared" si="23"/>
        <v>0.20698815065697507</v>
      </c>
      <c r="O45" s="11"/>
      <c r="P45" s="7">
        <v>147857.13</v>
      </c>
      <c r="Q45" s="2"/>
      <c r="R45" s="6">
        <f t="shared" si="24"/>
        <v>1.2891053055394068</v>
      </c>
      <c r="S45" s="2"/>
      <c r="T45" s="7">
        <v>112172.594176923</v>
      </c>
      <c r="U45" s="2"/>
      <c r="V45" s="6">
        <f t="shared" si="25"/>
        <v>0.32540865640960159</v>
      </c>
      <c r="W45" s="2"/>
      <c r="X45" s="7">
        <f t="shared" si="26"/>
        <v>35684.535823077007</v>
      </c>
      <c r="Y45" s="2"/>
      <c r="Z45" s="6">
        <f t="shared" si="27"/>
        <v>0.31812169527606682</v>
      </c>
    </row>
    <row r="46" spans="1:26" s="24" customFormat="1" hidden="1" outlineLevel="2" x14ac:dyDescent="0.25">
      <c r="A46" s="26"/>
      <c r="B46" s="11" t="str">
        <f>CONCATENATE("          ", "6003", " - ", "STAFF HOURLY-9 MONTH")</f>
        <v xml:space="preserve">          6003 - STAFF HOURLY-9 MONTH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"6004", " - ", "STAFF HOURLY")</f>
        <v xml:space="preserve">          6004 - STAFF HOURLY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6"/>
      <c r="B48" s="11" t="str">
        <f>CONCATENATE("          ", "6005", " - ", "TEMPORARY WAGES-HOURLY")</f>
        <v xml:space="preserve">          6005 - TEMPORARY WAGES-HOURLY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>
        <v>383.25</v>
      </c>
      <c r="Q48" s="2"/>
      <c r="R48" s="6">
        <f t="shared" si="24"/>
        <v>3.3413986078857181E-3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383.25</v>
      </c>
      <c r="Y48" s="2"/>
      <c r="Z48" s="6">
        <f t="shared" si="27"/>
        <v>0</v>
      </c>
    </row>
    <row r="49" spans="1:26" s="24" customFormat="1" hidden="1" outlineLevel="2" x14ac:dyDescent="0.25">
      <c r="A49" s="26"/>
      <c r="B49" s="11" t="str">
        <f>CONCATENATE("          ", "6006", " - ", "TEMPORARY PART TIME")</f>
        <v xml:space="preserve">          6006 - TEMPORARY PART TIME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4" customFormat="1" hidden="1" outlineLevel="2" x14ac:dyDescent="0.25">
      <c r="A50" s="26"/>
      <c r="B50" s="11" t="str">
        <f>CONCATENATE("          ", "6007", " - ", "STUDENT HOURLY")</f>
        <v xml:space="preserve">          6007 - STUDENT HOURLY</v>
      </c>
      <c r="C50" s="11"/>
      <c r="D50" s="7">
        <v>649.72</v>
      </c>
      <c r="E50" s="2"/>
      <c r="F50" s="6">
        <f t="shared" si="20"/>
        <v>0.1754838012667288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649.72</v>
      </c>
      <c r="M50" s="2"/>
      <c r="N50" s="6">
        <f t="shared" si="23"/>
        <v>0</v>
      </c>
      <c r="O50" s="11"/>
      <c r="P50" s="7">
        <v>6613.25</v>
      </c>
      <c r="Q50" s="2"/>
      <c r="R50" s="6">
        <f t="shared" si="24"/>
        <v>5.7658197895891002E-2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6613.25</v>
      </c>
      <c r="Y50" s="2"/>
      <c r="Z50" s="6">
        <f t="shared" si="27"/>
        <v>0</v>
      </c>
    </row>
    <row r="51" spans="1:26" s="24" customFormat="1" hidden="1" outlineLevel="2" x14ac:dyDescent="0.25">
      <c r="A51" s="26"/>
      <c r="B51" s="11" t="str">
        <f>CONCATENATE("          ", "6008", " - ", "STUDENT HOURLY-FICA EXEMPT")</f>
        <v xml:space="preserve">          6008 - STUDENT HOURLY-FICA EXEMPT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6"/>
      <c r="B52" s="11" t="str">
        <f>CONCATENATE("          ", "6009", " - ", "TEMPORARY-SEASONAL")</f>
        <v xml:space="preserve">          6009 - TEMPORARY-SEASONAL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4" customFormat="1" hidden="1" outlineLevel="2" x14ac:dyDescent="0.25">
      <c r="A53" s="26"/>
      <c r="B53" s="11" t="str">
        <f>CONCATENATE("          ", "6010", " - ", "GRATUITY")</f>
        <v xml:space="preserve">          6010 - GRATUITY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5" customFormat="1" outlineLevel="1" collapsed="1" x14ac:dyDescent="0.25">
      <c r="A54" s="27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4" si="28">IF(D$12=0,0,D54/D$12)</f>
        <v>0</v>
      </c>
      <c r="G54" s="1"/>
      <c r="H54" s="1">
        <f>SUM(OSRRefH22_2x_0)</f>
        <v>50</v>
      </c>
      <c r="I54" s="1"/>
      <c r="J54" s="5">
        <f t="shared" ref="J54:J64" si="29">IF(H$12=0,0,H54/H$12)</f>
        <v>1.176470588235294E-3</v>
      </c>
      <c r="K54" s="1"/>
      <c r="L54" s="1">
        <f t="shared" ref="L54:L64" si="30">+D54-H54</f>
        <v>-50</v>
      </c>
      <c r="M54" s="1"/>
      <c r="N54" s="5">
        <f t="shared" ref="N54:N64" si="31">IF(H54=0,0,L54/H54)</f>
        <v>-1</v>
      </c>
      <c r="O54" s="13"/>
      <c r="P54" s="1">
        <f>SUM(OSRRefP22_2x_0)</f>
        <v>0</v>
      </c>
      <c r="Q54" s="1"/>
      <c r="R54" s="5">
        <f t="shared" ref="R54:R64" si="32">IF(P$12=0,0,P54/P$12)</f>
        <v>0</v>
      </c>
      <c r="S54" s="1"/>
      <c r="T54" s="1">
        <f>SUM(OSRRefT22_2x_0)</f>
        <v>500</v>
      </c>
      <c r="U54" s="1"/>
      <c r="V54" s="5">
        <f t="shared" ref="V54:V64" si="33">IF(T$12=0,0,T54/T$12)</f>
        <v>1.4504819951669939E-3</v>
      </c>
      <c r="W54" s="1"/>
      <c r="X54" s="1">
        <f t="shared" ref="X54:X64" si="34">+P54-T54</f>
        <v>-500</v>
      </c>
      <c r="Y54" s="1"/>
      <c r="Z54" s="5">
        <f t="shared" ref="Z54:Z64" si="35">IF(T54=0,0,X54/T54)</f>
        <v>-1</v>
      </c>
    </row>
    <row r="55" spans="1:26" s="24" customFormat="1" hidden="1" outlineLevel="2" x14ac:dyDescent="0.25">
      <c r="A55" s="26"/>
      <c r="B55" s="11" t="str">
        <f>CONCATENATE("          ", "6362", " - ", "ADVERTISING EXPENSE")</f>
        <v xml:space="preserve">          6362 - ADVERTISING EXPENSE</v>
      </c>
      <c r="C55" s="11"/>
      <c r="D55" s="7"/>
      <c r="E55" s="2"/>
      <c r="F55" s="6">
        <f t="shared" si="28"/>
        <v>0</v>
      </c>
      <c r="G55" s="2"/>
      <c r="H55" s="7">
        <v>50</v>
      </c>
      <c r="I55" s="2"/>
      <c r="J55" s="6">
        <f t="shared" si="29"/>
        <v>1.176470588235294E-3</v>
      </c>
      <c r="K55" s="2"/>
      <c r="L55" s="7">
        <f t="shared" si="30"/>
        <v>-50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500</v>
      </c>
      <c r="U55" s="2"/>
      <c r="V55" s="6">
        <f t="shared" si="33"/>
        <v>1.4504819951669939E-3</v>
      </c>
      <c r="W55" s="2"/>
      <c r="X55" s="7">
        <f t="shared" si="34"/>
        <v>-500</v>
      </c>
      <c r="Y55" s="2"/>
      <c r="Z55" s="6">
        <f t="shared" si="35"/>
        <v>-1</v>
      </c>
    </row>
    <row r="56" spans="1:26" s="25" customFormat="1" outlineLevel="1" collapsed="1" x14ac:dyDescent="0.25">
      <c r="A56" s="27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SUM(OSRRefD22_3x_0)</f>
        <v>169.88</v>
      </c>
      <c r="E56" s="1"/>
      <c r="F56" s="5">
        <f t="shared" si="28"/>
        <v>4.5883131439992439E-2</v>
      </c>
      <c r="G56" s="1"/>
      <c r="H56" s="1">
        <f>SUM(OSRRefH22_3x_0)</f>
        <v>170</v>
      </c>
      <c r="I56" s="1"/>
      <c r="J56" s="5">
        <f t="shared" si="29"/>
        <v>4.0000000000000001E-3</v>
      </c>
      <c r="K56" s="1"/>
      <c r="L56" s="1">
        <f t="shared" si="30"/>
        <v>-0.12000000000000455</v>
      </c>
      <c r="M56" s="1"/>
      <c r="N56" s="5">
        <f t="shared" si="31"/>
        <v>-7.0588235294120319E-4</v>
      </c>
      <c r="O56" s="13"/>
      <c r="P56" s="1">
        <f>SUM(OSRRefP22_3x_0)</f>
        <v>1698.8</v>
      </c>
      <c r="Q56" s="1"/>
      <c r="R56" s="5">
        <f t="shared" si="32"/>
        <v>1.4811136216767797E-2</v>
      </c>
      <c r="S56" s="1"/>
      <c r="T56" s="1">
        <f>SUM(OSRRefT22_3x_0)</f>
        <v>1700</v>
      </c>
      <c r="U56" s="1"/>
      <c r="V56" s="5">
        <f t="shared" si="33"/>
        <v>4.9316387835677796E-3</v>
      </c>
      <c r="W56" s="1"/>
      <c r="X56" s="1">
        <f t="shared" si="34"/>
        <v>-1.2000000000000455</v>
      </c>
      <c r="Y56" s="1"/>
      <c r="Z56" s="5">
        <f t="shared" si="35"/>
        <v>-7.0588235294120319E-4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169.88</v>
      </c>
      <c r="E57" s="2"/>
      <c r="F57" s="6">
        <f t="shared" si="28"/>
        <v>4.5883131439992439E-2</v>
      </c>
      <c r="G57" s="2"/>
      <c r="H57" s="7">
        <v>170</v>
      </c>
      <c r="I57" s="2"/>
      <c r="J57" s="6">
        <f t="shared" si="29"/>
        <v>4.0000000000000001E-3</v>
      </c>
      <c r="K57" s="2"/>
      <c r="L57" s="7">
        <f t="shared" si="30"/>
        <v>-0.12000000000000455</v>
      </c>
      <c r="M57" s="2"/>
      <c r="N57" s="6">
        <f t="shared" si="31"/>
        <v>-7.0588235294120319E-4</v>
      </c>
      <c r="O57" s="11"/>
      <c r="P57" s="7">
        <v>1698.8</v>
      </c>
      <c r="Q57" s="2"/>
      <c r="R57" s="6">
        <f t="shared" si="32"/>
        <v>1.4811136216767797E-2</v>
      </c>
      <c r="S57" s="2"/>
      <c r="T57" s="7">
        <v>1700</v>
      </c>
      <c r="U57" s="2"/>
      <c r="V57" s="6">
        <f t="shared" si="33"/>
        <v>4.9316387835677796E-3</v>
      </c>
      <c r="W57" s="2"/>
      <c r="X57" s="7">
        <f t="shared" si="34"/>
        <v>-1.2000000000000455</v>
      </c>
      <c r="Y57" s="2"/>
      <c r="Z57" s="6">
        <f t="shared" si="35"/>
        <v>-7.0588235294120319E-4</v>
      </c>
    </row>
    <row r="58" spans="1:26" s="25" customFormat="1" outlineLevel="1" collapsed="1" x14ac:dyDescent="0.25">
      <c r="A58" s="27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SUM(OSRRefD22_4x_0)</f>
        <v>0</v>
      </c>
      <c r="E58" s="1"/>
      <c r="F58" s="5">
        <f t="shared" si="28"/>
        <v>0</v>
      </c>
      <c r="G58" s="1"/>
      <c r="H58" s="1">
        <f>SUM(OSRRefH22_4x_0)</f>
        <v>50</v>
      </c>
      <c r="I58" s="1"/>
      <c r="J58" s="5">
        <f t="shared" si="29"/>
        <v>1.176470588235294E-3</v>
      </c>
      <c r="K58" s="1"/>
      <c r="L58" s="1">
        <f t="shared" si="30"/>
        <v>-50</v>
      </c>
      <c r="M58" s="1"/>
      <c r="N58" s="5">
        <f t="shared" si="31"/>
        <v>-1</v>
      </c>
      <c r="O58" s="13"/>
      <c r="P58" s="1">
        <f>SUM(OSRRefP22_4x_0)</f>
        <v>0</v>
      </c>
      <c r="Q58" s="1"/>
      <c r="R58" s="5">
        <f t="shared" si="32"/>
        <v>0</v>
      </c>
      <c r="S58" s="1"/>
      <c r="T58" s="1">
        <f>SUM(OSRRefT22_4x_0)</f>
        <v>500</v>
      </c>
      <c r="U58" s="1"/>
      <c r="V58" s="5">
        <f t="shared" si="33"/>
        <v>1.4504819951669939E-3</v>
      </c>
      <c r="W58" s="1"/>
      <c r="X58" s="1">
        <f t="shared" si="34"/>
        <v>-500</v>
      </c>
      <c r="Y58" s="1"/>
      <c r="Z58" s="5">
        <f t="shared" si="35"/>
        <v>-1</v>
      </c>
    </row>
    <row r="59" spans="1:26" s="24" customFormat="1" hidden="1" outlineLevel="2" x14ac:dyDescent="0.25">
      <c r="A59" s="26"/>
      <c r="B59" s="11" t="str">
        <f>CONCATENATE("          ", "6382", " - ", "DISCOUNTS/MARK DOWNS")</f>
        <v xml:space="preserve">          6382 - DISCOUNTS/MARK DOWNS</v>
      </c>
      <c r="C59" s="11"/>
      <c r="D59" s="7"/>
      <c r="E59" s="2"/>
      <c r="F59" s="6">
        <f t="shared" si="28"/>
        <v>0</v>
      </c>
      <c r="G59" s="2"/>
      <c r="H59" s="7">
        <v>50</v>
      </c>
      <c r="I59" s="2"/>
      <c r="J59" s="6">
        <f t="shared" si="29"/>
        <v>1.176470588235294E-3</v>
      </c>
      <c r="K59" s="2"/>
      <c r="L59" s="7">
        <f t="shared" si="30"/>
        <v>-50</v>
      </c>
      <c r="M59" s="2"/>
      <c r="N59" s="6">
        <f t="shared" si="31"/>
        <v>-1</v>
      </c>
      <c r="O59" s="11"/>
      <c r="P59" s="7">
        <v>0</v>
      </c>
      <c r="Q59" s="2"/>
      <c r="R59" s="6">
        <f t="shared" si="32"/>
        <v>0</v>
      </c>
      <c r="S59" s="2"/>
      <c r="T59" s="7">
        <v>500</v>
      </c>
      <c r="U59" s="2"/>
      <c r="V59" s="6">
        <f t="shared" si="33"/>
        <v>1.4504819951669939E-3</v>
      </c>
      <c r="W59" s="2"/>
      <c r="X59" s="7">
        <f t="shared" si="34"/>
        <v>-500</v>
      </c>
      <c r="Y59" s="2"/>
      <c r="Z59" s="6">
        <f t="shared" si="35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SUM(OSRRefD22_5x_0)</f>
        <v>1205.6400000000001</v>
      </c>
      <c r="E60" s="1"/>
      <c r="F60" s="5">
        <f t="shared" si="28"/>
        <v>0.3256330267795649</v>
      </c>
      <c r="G60" s="1"/>
      <c r="H60" s="1">
        <f>SUM(OSRRefH22_5x_0)</f>
        <v>1206</v>
      </c>
      <c r="I60" s="1"/>
      <c r="J60" s="5">
        <f t="shared" si="29"/>
        <v>2.8376470588235295E-2</v>
      </c>
      <c r="K60" s="1"/>
      <c r="L60" s="1">
        <f t="shared" si="30"/>
        <v>-0.35999999999989996</v>
      </c>
      <c r="M60" s="1"/>
      <c r="N60" s="5">
        <f t="shared" si="31"/>
        <v>-2.9850746268648423E-4</v>
      </c>
      <c r="O60" s="13"/>
      <c r="P60" s="1">
        <f>SUM(OSRRefP22_5x_0)</f>
        <v>12056.4</v>
      </c>
      <c r="Q60" s="1"/>
      <c r="R60" s="5">
        <f t="shared" si="32"/>
        <v>0.10511477671523385</v>
      </c>
      <c r="S60" s="1"/>
      <c r="T60" s="1">
        <f>SUM(OSRRefT22_5x_0)</f>
        <v>12060</v>
      </c>
      <c r="U60" s="1"/>
      <c r="V60" s="5">
        <f t="shared" si="33"/>
        <v>3.4985625723427893E-2</v>
      </c>
      <c r="W60" s="1"/>
      <c r="X60" s="1">
        <f t="shared" si="34"/>
        <v>-3.6000000000003638</v>
      </c>
      <c r="Y60" s="1"/>
      <c r="Z60" s="5">
        <f t="shared" si="35"/>
        <v>-2.9850746268659731E-4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1205.6400000000001</v>
      </c>
      <c r="E61" s="2"/>
      <c r="F61" s="6">
        <f t="shared" si="28"/>
        <v>0.3256330267795649</v>
      </c>
      <c r="G61" s="2"/>
      <c r="H61" s="7">
        <v>1206</v>
      </c>
      <c r="I61" s="2"/>
      <c r="J61" s="6">
        <f t="shared" si="29"/>
        <v>2.8376470588235295E-2</v>
      </c>
      <c r="K61" s="2"/>
      <c r="L61" s="7">
        <f t="shared" si="30"/>
        <v>-0.35999999999989996</v>
      </c>
      <c r="M61" s="2"/>
      <c r="N61" s="6">
        <f t="shared" si="31"/>
        <v>-2.9850746268648423E-4</v>
      </c>
      <c r="O61" s="11"/>
      <c r="P61" s="7">
        <v>12056.4</v>
      </c>
      <c r="Q61" s="2"/>
      <c r="R61" s="6">
        <f t="shared" si="32"/>
        <v>0.10511477671523385</v>
      </c>
      <c r="S61" s="2"/>
      <c r="T61" s="7">
        <v>12060</v>
      </c>
      <c r="U61" s="2"/>
      <c r="V61" s="6">
        <f t="shared" si="33"/>
        <v>3.4985625723427893E-2</v>
      </c>
      <c r="W61" s="2"/>
      <c r="X61" s="7">
        <f t="shared" si="34"/>
        <v>-3.6000000000003638</v>
      </c>
      <c r="Y61" s="2"/>
      <c r="Z61" s="6">
        <f t="shared" si="35"/>
        <v>-2.9850746268659731E-4</v>
      </c>
    </row>
    <row r="62" spans="1:26" s="25" customFormat="1" outlineLevel="1" collapsed="1" x14ac:dyDescent="0.25">
      <c r="A62" s="27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SUM(OSRRefD22_6x_0)</f>
        <v>-18667.690000000002</v>
      </c>
      <c r="E62" s="1"/>
      <c r="F62" s="5">
        <f t="shared" si="28"/>
        <v>-5.0419830112493091</v>
      </c>
      <c r="G62" s="1"/>
      <c r="H62" s="1">
        <f>SUM(OSRRefH22_6x_0)</f>
        <v>408</v>
      </c>
      <c r="I62" s="1"/>
      <c r="J62" s="5">
        <f t="shared" si="29"/>
        <v>9.5999999999999992E-3</v>
      </c>
      <c r="K62" s="1"/>
      <c r="L62" s="1">
        <f t="shared" si="30"/>
        <v>-19075.690000000002</v>
      </c>
      <c r="M62" s="1"/>
      <c r="N62" s="5">
        <f t="shared" si="31"/>
        <v>-46.754142156862748</v>
      </c>
      <c r="O62" s="13"/>
      <c r="P62" s="1">
        <f>SUM(OSRRefP22_6x_0)</f>
        <v>-72673.700000000012</v>
      </c>
      <c r="Q62" s="1"/>
      <c r="R62" s="5">
        <f t="shared" si="32"/>
        <v>-0.63361200263510598</v>
      </c>
      <c r="S62" s="1"/>
      <c r="T62" s="1">
        <f>SUM(OSRRefT22_6x_0)</f>
        <v>10918</v>
      </c>
      <c r="U62" s="1"/>
      <c r="V62" s="5">
        <f t="shared" si="33"/>
        <v>3.167272484646648E-2</v>
      </c>
      <c r="W62" s="1"/>
      <c r="X62" s="1">
        <f t="shared" si="34"/>
        <v>-83591.700000000012</v>
      </c>
      <c r="Y62" s="1"/>
      <c r="Z62" s="5">
        <f t="shared" si="35"/>
        <v>-7.656319838798316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7">
        <v>16530.71</v>
      </c>
      <c r="E63" s="2"/>
      <c r="F63" s="6">
        <f t="shared" si="28"/>
        <v>4.4648030358276278</v>
      </c>
      <c r="G63" s="2"/>
      <c r="H63" s="7">
        <v>2500</v>
      </c>
      <c r="I63" s="2"/>
      <c r="J63" s="6">
        <f t="shared" si="29"/>
        <v>5.8823529411764705E-2</v>
      </c>
      <c r="K63" s="2"/>
      <c r="L63" s="7">
        <f t="shared" si="30"/>
        <v>14030.71</v>
      </c>
      <c r="M63" s="2"/>
      <c r="N63" s="6">
        <f t="shared" si="31"/>
        <v>5.6122839999999998</v>
      </c>
      <c r="O63" s="11"/>
      <c r="P63" s="7">
        <v>178009.9</v>
      </c>
      <c r="Q63" s="2"/>
      <c r="R63" s="6">
        <f t="shared" si="32"/>
        <v>1.5519948651007851</v>
      </c>
      <c r="S63" s="2"/>
      <c r="T63" s="7">
        <v>35460</v>
      </c>
      <c r="U63" s="2"/>
      <c r="V63" s="6">
        <f t="shared" si="33"/>
        <v>0.10286818309724322</v>
      </c>
      <c r="W63" s="2"/>
      <c r="X63" s="7">
        <f t="shared" si="34"/>
        <v>142549.9</v>
      </c>
      <c r="Y63" s="2"/>
      <c r="Z63" s="6">
        <f t="shared" si="35"/>
        <v>4.0200197405527351</v>
      </c>
    </row>
    <row r="64" spans="1:26" s="24" customFormat="1" hidden="1" outlineLevel="2" x14ac:dyDescent="0.25">
      <c r="A64" s="26"/>
      <c r="B64" s="11" t="str">
        <f>CONCATENATE("          ", "6307", " - ", "POSTAGE")</f>
        <v xml:space="preserve">          6307 - POSTAGE</v>
      </c>
      <c r="C64" s="11"/>
      <c r="D64" s="7">
        <v>-35198.400000000001</v>
      </c>
      <c r="E64" s="2"/>
      <c r="F64" s="6">
        <f t="shared" si="28"/>
        <v>-9.5067860470769361</v>
      </c>
      <c r="G64" s="2"/>
      <c r="H64" s="7">
        <v>-2092</v>
      </c>
      <c r="I64" s="2"/>
      <c r="J64" s="6">
        <f t="shared" si="29"/>
        <v>-4.9223529411764708E-2</v>
      </c>
      <c r="K64" s="2"/>
      <c r="L64" s="7">
        <f t="shared" si="30"/>
        <v>-33106.400000000001</v>
      </c>
      <c r="M64" s="2"/>
      <c r="N64" s="6">
        <f t="shared" si="31"/>
        <v>15.825239005736139</v>
      </c>
      <c r="O64" s="11"/>
      <c r="P64" s="7">
        <v>-250683.6</v>
      </c>
      <c r="Q64" s="2"/>
      <c r="R64" s="6">
        <f t="shared" si="32"/>
        <v>-2.1856068677358911</v>
      </c>
      <c r="S64" s="2"/>
      <c r="T64" s="7">
        <v>-24542</v>
      </c>
      <c r="U64" s="2"/>
      <c r="V64" s="6">
        <f t="shared" si="33"/>
        <v>-7.1195458250776736E-2</v>
      </c>
      <c r="W64" s="2"/>
      <c r="X64" s="7">
        <f t="shared" si="34"/>
        <v>-226141.6</v>
      </c>
      <c r="Y64" s="2"/>
      <c r="Z64" s="6">
        <f t="shared" si="35"/>
        <v>9.2144731480726918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SUM(OSRRefD22_7x_0)</f>
        <v>102.36</v>
      </c>
      <c r="E65" s="1"/>
      <c r="F65" s="5">
        <f t="shared" ref="F65:F68" si="36">IF(D$12=0,0,D65/D$12)</f>
        <v>2.7646558360004864E-2</v>
      </c>
      <c r="G65" s="1"/>
      <c r="H65" s="1">
        <f>SUM(OSRRefH22_7x_0)</f>
        <v>4700</v>
      </c>
      <c r="I65" s="1"/>
      <c r="J65" s="5">
        <f t="shared" ref="J65:J68" si="37">IF(H$12=0,0,H65/H$12)</f>
        <v>0.11058823529411765</v>
      </c>
      <c r="K65" s="1"/>
      <c r="L65" s="1">
        <f t="shared" ref="L65:L68" si="38">+D65-H65</f>
        <v>-4597.6400000000003</v>
      </c>
      <c r="M65" s="1"/>
      <c r="N65" s="5">
        <f t="shared" ref="N65:N68" si="39">IF(H65=0,0,L65/H65)</f>
        <v>-0.97822127659574476</v>
      </c>
      <c r="O65" s="13"/>
      <c r="P65" s="1">
        <f>SUM(OSRRefP22_7x_0)</f>
        <v>31093.699999999997</v>
      </c>
      <c r="Q65" s="1"/>
      <c r="R65" s="5">
        <f t="shared" ref="R65:R68" si="40">IF(P$12=0,0,P65/P$12)</f>
        <v>0.27109313997134027</v>
      </c>
      <c r="S65" s="1"/>
      <c r="T65" s="1">
        <f>SUM(OSRRefT22_7x_0)</f>
        <v>55100</v>
      </c>
      <c r="U65" s="1"/>
      <c r="V65" s="5">
        <f t="shared" ref="V65:V68" si="41">IF(T$12=0,0,T65/T$12)</f>
        <v>0.15984311586740274</v>
      </c>
      <c r="W65" s="1"/>
      <c r="X65" s="1">
        <f t="shared" ref="X65:X68" si="42">+P65-T65</f>
        <v>-24006.300000000003</v>
      </c>
      <c r="Y65" s="1"/>
      <c r="Z65" s="5">
        <f t="shared" ref="Z65:Z68" si="43">IF(T65=0,0,X65/T65)</f>
        <v>-0.4356860254083485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7.69</v>
      </c>
      <c r="Q66" s="2"/>
      <c r="R66" s="6">
        <f t="shared" si="40"/>
        <v>6.7045936841855644E-5</v>
      </c>
      <c r="S66" s="2"/>
      <c r="T66" s="7"/>
      <c r="U66" s="2"/>
      <c r="V66" s="6">
        <f t="shared" si="41"/>
        <v>0</v>
      </c>
      <c r="W66" s="2"/>
      <c r="X66" s="7">
        <f t="shared" si="42"/>
        <v>7.69</v>
      </c>
      <c r="Y66" s="2"/>
      <c r="Z66" s="6">
        <f t="shared" si="43"/>
        <v>0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>
        <v>97.76</v>
      </c>
      <c r="E67" s="2"/>
      <c r="F67" s="6">
        <f t="shared" si="36"/>
        <v>2.640413780064552E-2</v>
      </c>
      <c r="G67" s="2"/>
      <c r="H67" s="7">
        <v>4700</v>
      </c>
      <c r="I67" s="2"/>
      <c r="J67" s="6">
        <f t="shared" si="37"/>
        <v>0.11058823529411765</v>
      </c>
      <c r="K67" s="2"/>
      <c r="L67" s="7">
        <f t="shared" si="38"/>
        <v>-4602.24</v>
      </c>
      <c r="M67" s="2"/>
      <c r="N67" s="6">
        <f t="shared" si="39"/>
        <v>-0.97919999999999996</v>
      </c>
      <c r="O67" s="11"/>
      <c r="P67" s="7">
        <v>31081.41</v>
      </c>
      <c r="Q67" s="2"/>
      <c r="R67" s="6">
        <f t="shared" si="40"/>
        <v>0.27098598853261641</v>
      </c>
      <c r="S67" s="2"/>
      <c r="T67" s="7">
        <v>55100</v>
      </c>
      <c r="U67" s="2"/>
      <c r="V67" s="6">
        <f t="shared" si="41"/>
        <v>0.15984311586740274</v>
      </c>
      <c r="W67" s="2"/>
      <c r="X67" s="7">
        <f t="shared" si="42"/>
        <v>-24018.59</v>
      </c>
      <c r="Y67" s="2"/>
      <c r="Z67" s="6">
        <f t="shared" si="43"/>
        <v>-0.43590907441016336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4.5999999999999996</v>
      </c>
      <c r="E68" s="2"/>
      <c r="F68" s="6">
        <f t="shared" si="36"/>
        <v>1.2424205593593431E-3</v>
      </c>
      <c r="G68" s="2"/>
      <c r="H68" s="7"/>
      <c r="I68" s="2"/>
      <c r="J68" s="6">
        <f t="shared" si="37"/>
        <v>0</v>
      </c>
      <c r="K68" s="2"/>
      <c r="L68" s="7">
        <f t="shared" si="38"/>
        <v>4.5999999999999996</v>
      </c>
      <c r="M68" s="2"/>
      <c r="N68" s="6">
        <f t="shared" si="39"/>
        <v>0</v>
      </c>
      <c r="O68" s="11"/>
      <c r="P68" s="7">
        <v>4.5999999999999996</v>
      </c>
      <c r="Q68" s="2"/>
      <c r="R68" s="6">
        <f t="shared" si="40"/>
        <v>4.0105501881994266E-5</v>
      </c>
      <c r="S68" s="2"/>
      <c r="T68" s="7"/>
      <c r="U68" s="2"/>
      <c r="V68" s="6">
        <f t="shared" si="41"/>
        <v>0</v>
      </c>
      <c r="W68" s="2"/>
      <c r="X68" s="7">
        <f t="shared" si="42"/>
        <v>4.5999999999999996</v>
      </c>
      <c r="Y68" s="2"/>
      <c r="Z68" s="6">
        <f t="shared" si="43"/>
        <v>0</v>
      </c>
    </row>
    <row r="69" spans="1:26" s="25" customFormat="1" outlineLevel="1" collapsed="1" x14ac:dyDescent="0.25">
      <c r="A69" s="27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SUM(OSRRefD22_8x_0)</f>
        <v>2570.27</v>
      </c>
      <c r="E69" s="1"/>
      <c r="F69" s="5">
        <f t="shared" ref="F69:F76" si="44">IF(D$12=0,0,D69/D$12)</f>
        <v>0.694207889370552</v>
      </c>
      <c r="G69" s="1"/>
      <c r="H69" s="1">
        <f>SUM(OSRRefH22_8x_0)</f>
        <v>8700</v>
      </c>
      <c r="I69" s="1"/>
      <c r="J69" s="5">
        <f t="shared" ref="J69:J76" si="45">IF(H$12=0,0,H69/H$12)</f>
        <v>0.20470588235294118</v>
      </c>
      <c r="K69" s="1"/>
      <c r="L69" s="1">
        <f t="shared" ref="L69:L76" si="46">+D69-H69</f>
        <v>-6129.73</v>
      </c>
      <c r="M69" s="1"/>
      <c r="N69" s="5">
        <f t="shared" ref="N69:N76" si="47">IF(H69=0,0,L69/H69)</f>
        <v>-0.70456666666666656</v>
      </c>
      <c r="O69" s="13"/>
      <c r="P69" s="1">
        <f>SUM(OSRRefP22_8x_0)</f>
        <v>13233.89</v>
      </c>
      <c r="Q69" s="1"/>
      <c r="R69" s="5">
        <f t="shared" ref="R69:R76" si="48">IF(P$12=0,0,P69/P$12)</f>
        <v>0.11538082615241416</v>
      </c>
      <c r="S69" s="1"/>
      <c r="T69" s="1">
        <f>SUM(OSRRefT22_8x_0)</f>
        <v>32250</v>
      </c>
      <c r="U69" s="1"/>
      <c r="V69" s="5">
        <f t="shared" ref="V69:V76" si="49">IF(T$12=0,0,T69/T$12)</f>
        <v>9.3556088688271116E-2</v>
      </c>
      <c r="W69" s="1"/>
      <c r="X69" s="1">
        <f t="shared" ref="X69:X76" si="50">+P69-T69</f>
        <v>-19016.11</v>
      </c>
      <c r="Y69" s="1"/>
      <c r="Z69" s="5">
        <f t="shared" ref="Z69:Z76" si="51">IF(T69=0,0,X69/T69)</f>
        <v>-0.58964682170542637</v>
      </c>
    </row>
    <row r="70" spans="1:26" s="24" customFormat="1" hidden="1" outlineLevel="2" x14ac:dyDescent="0.25">
      <c r="A70" s="26"/>
      <c r="B70" s="11" t="str">
        <f>CONCATENATE("          ", "6259", " - ", "ROYALTY &amp; COMMISSIONS")</f>
        <v xml:space="preserve">          6259 - ROYALTY &amp; COMMISSIONS</v>
      </c>
      <c r="C70" s="11"/>
      <c r="D70" s="7">
        <v>2570.27</v>
      </c>
      <c r="E70" s="2"/>
      <c r="F70" s="6">
        <f t="shared" si="44"/>
        <v>0.694207889370552</v>
      </c>
      <c r="G70" s="2"/>
      <c r="H70" s="7">
        <v>8700</v>
      </c>
      <c r="I70" s="2"/>
      <c r="J70" s="6">
        <f t="shared" si="45"/>
        <v>0.20470588235294118</v>
      </c>
      <c r="K70" s="2"/>
      <c r="L70" s="7">
        <f t="shared" si="46"/>
        <v>-6129.73</v>
      </c>
      <c r="M70" s="2"/>
      <c r="N70" s="6">
        <f t="shared" si="47"/>
        <v>-0.70456666666666656</v>
      </c>
      <c r="O70" s="11"/>
      <c r="P70" s="7">
        <v>13233.89</v>
      </c>
      <c r="Q70" s="2"/>
      <c r="R70" s="6">
        <f t="shared" si="48"/>
        <v>0.11538082615241416</v>
      </c>
      <c r="S70" s="2"/>
      <c r="T70" s="7">
        <v>32250</v>
      </c>
      <c r="U70" s="2"/>
      <c r="V70" s="6">
        <f t="shared" si="49"/>
        <v>9.3556088688271116E-2</v>
      </c>
      <c r="W70" s="2"/>
      <c r="X70" s="7">
        <f t="shared" si="50"/>
        <v>-19016.11</v>
      </c>
      <c r="Y70" s="2"/>
      <c r="Z70" s="6">
        <f t="shared" si="51"/>
        <v>-0.58964682170542637</v>
      </c>
    </row>
    <row r="71" spans="1:26" s="25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SUM(OSRRefD22_9x_0)</f>
        <v>3285.03</v>
      </c>
      <c r="E71" s="1"/>
      <c r="F71" s="5">
        <f t="shared" si="44"/>
        <v>0.88725843698091811</v>
      </c>
      <c r="G71" s="1"/>
      <c r="H71" s="1">
        <f>SUM(OSRRefH22_9x_0)</f>
        <v>4900</v>
      </c>
      <c r="I71" s="1"/>
      <c r="J71" s="5">
        <f t="shared" si="45"/>
        <v>0.11529411764705882</v>
      </c>
      <c r="K71" s="1"/>
      <c r="L71" s="1">
        <f t="shared" si="46"/>
        <v>-1614.9699999999998</v>
      </c>
      <c r="M71" s="1"/>
      <c r="N71" s="5">
        <f t="shared" si="47"/>
        <v>-0.32958571428571426</v>
      </c>
      <c r="O71" s="13"/>
      <c r="P71" s="1">
        <f>SUM(OSRRefP22_9x_0)</f>
        <v>35798.199999999997</v>
      </c>
      <c r="Q71" s="1"/>
      <c r="R71" s="5">
        <f t="shared" si="48"/>
        <v>0.31210973423304506</v>
      </c>
      <c r="S71" s="1"/>
      <c r="T71" s="1">
        <f>SUM(OSRRefT22_9x_0)</f>
        <v>24450</v>
      </c>
      <c r="U71" s="1"/>
      <c r="V71" s="5">
        <f t="shared" si="49"/>
        <v>7.0928569563666E-2</v>
      </c>
      <c r="W71" s="1"/>
      <c r="X71" s="1">
        <f t="shared" si="50"/>
        <v>11348.199999999997</v>
      </c>
      <c r="Y71" s="1"/>
      <c r="Z71" s="5">
        <f t="shared" si="51"/>
        <v>0.46413905930470334</v>
      </c>
    </row>
    <row r="72" spans="1:26" s="24" customFormat="1" hidden="1" outlineLevel="2" x14ac:dyDescent="0.25">
      <c r="A72" s="26"/>
      <c r="B72" s="11" t="str">
        <f>CONCATENATE("          ", "6235", " - ", "COVID-19 EXPENSES")</f>
        <v xml:space="preserve">          6235 - COVID-19 EXPENSES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310.91000000000003</v>
      </c>
      <c r="Q72" s="2"/>
      <c r="R72" s="6">
        <f t="shared" si="48"/>
        <v>2.7106959978545303E-3</v>
      </c>
      <c r="S72" s="2"/>
      <c r="T72" s="7"/>
      <c r="U72" s="2"/>
      <c r="V72" s="6">
        <f t="shared" si="49"/>
        <v>0</v>
      </c>
      <c r="W72" s="2"/>
      <c r="X72" s="7">
        <f t="shared" si="50"/>
        <v>310.91000000000003</v>
      </c>
      <c r="Y72" s="2"/>
      <c r="Z72" s="6">
        <f t="shared" si="51"/>
        <v>0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>
        <v>6.55</v>
      </c>
      <c r="E73" s="2"/>
      <c r="F73" s="6">
        <f t="shared" si="44"/>
        <v>1.7690988399573257E-3</v>
      </c>
      <c r="G73" s="2"/>
      <c r="H73" s="7"/>
      <c r="I73" s="2"/>
      <c r="J73" s="6">
        <f t="shared" si="45"/>
        <v>0</v>
      </c>
      <c r="K73" s="2"/>
      <c r="L73" s="7">
        <f t="shared" si="46"/>
        <v>6.55</v>
      </c>
      <c r="M73" s="2"/>
      <c r="N73" s="6">
        <f t="shared" si="47"/>
        <v>0</v>
      </c>
      <c r="O73" s="11"/>
      <c r="P73" s="7">
        <v>4657.76</v>
      </c>
      <c r="Q73" s="2"/>
      <c r="R73" s="6">
        <f t="shared" si="48"/>
        <v>4.0609087488234268E-2</v>
      </c>
      <c r="S73" s="2"/>
      <c r="T73" s="7"/>
      <c r="U73" s="2"/>
      <c r="V73" s="6">
        <f t="shared" si="49"/>
        <v>0</v>
      </c>
      <c r="W73" s="2"/>
      <c r="X73" s="7">
        <f t="shared" si="50"/>
        <v>4657.76</v>
      </c>
      <c r="Y73" s="2"/>
      <c r="Z73" s="6">
        <f t="shared" si="51"/>
        <v>0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199.93</v>
      </c>
      <c r="E74" s="2"/>
      <c r="F74" s="6">
        <f t="shared" si="44"/>
        <v>5.3999378789720325E-2</v>
      </c>
      <c r="G74" s="2"/>
      <c r="H74" s="7">
        <v>4600</v>
      </c>
      <c r="I74" s="2"/>
      <c r="J74" s="6">
        <f t="shared" si="45"/>
        <v>0.10823529411764705</v>
      </c>
      <c r="K74" s="2"/>
      <c r="L74" s="7">
        <f t="shared" si="46"/>
        <v>-4400.07</v>
      </c>
      <c r="M74" s="2"/>
      <c r="N74" s="6">
        <f t="shared" si="47"/>
        <v>-0.95653695652173909</v>
      </c>
      <c r="O74" s="11"/>
      <c r="P74" s="7">
        <v>6682.58</v>
      </c>
      <c r="Q74" s="2"/>
      <c r="R74" s="6">
        <f t="shared" si="48"/>
        <v>5.8262657557951583E-2</v>
      </c>
      <c r="S74" s="2"/>
      <c r="T74" s="7">
        <v>21400</v>
      </c>
      <c r="U74" s="2"/>
      <c r="V74" s="6">
        <f t="shared" si="49"/>
        <v>6.2080629393147346E-2</v>
      </c>
      <c r="W74" s="2"/>
      <c r="X74" s="7">
        <f t="shared" si="50"/>
        <v>-14717.42</v>
      </c>
      <c r="Y74" s="2"/>
      <c r="Z74" s="6">
        <f t="shared" si="51"/>
        <v>-0.68772990654205612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7">
        <v>1766.38</v>
      </c>
      <c r="E75" s="2"/>
      <c r="F75" s="6">
        <f t="shared" si="44"/>
        <v>0.47708409296546889</v>
      </c>
      <c r="G75" s="2"/>
      <c r="H75" s="7">
        <v>200</v>
      </c>
      <c r="I75" s="2"/>
      <c r="J75" s="6">
        <f t="shared" si="45"/>
        <v>4.7058823529411761E-3</v>
      </c>
      <c r="K75" s="2"/>
      <c r="L75" s="7">
        <f t="shared" si="46"/>
        <v>1566.38</v>
      </c>
      <c r="M75" s="2"/>
      <c r="N75" s="6">
        <f t="shared" si="47"/>
        <v>7.831900000000001</v>
      </c>
      <c r="O75" s="11"/>
      <c r="P75" s="7">
        <v>3051.93</v>
      </c>
      <c r="Q75" s="2"/>
      <c r="R75" s="6">
        <f t="shared" si="48"/>
        <v>2.6608518338851035E-2</v>
      </c>
      <c r="S75" s="2"/>
      <c r="T75" s="7">
        <v>2100</v>
      </c>
      <c r="U75" s="2"/>
      <c r="V75" s="6">
        <f t="shared" si="49"/>
        <v>6.0920243797013751E-3</v>
      </c>
      <c r="W75" s="2"/>
      <c r="X75" s="7">
        <f t="shared" si="50"/>
        <v>951.92999999999984</v>
      </c>
      <c r="Y75" s="2"/>
      <c r="Z75" s="6">
        <f t="shared" si="51"/>
        <v>0.45329999999999993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7">
        <v>1312.17</v>
      </c>
      <c r="E76" s="2"/>
      <c r="F76" s="6">
        <f t="shared" si="44"/>
        <v>0.3544058663857716</v>
      </c>
      <c r="G76" s="2"/>
      <c r="H76" s="7">
        <v>100</v>
      </c>
      <c r="I76" s="2"/>
      <c r="J76" s="6">
        <f t="shared" si="45"/>
        <v>2.352941176470588E-3</v>
      </c>
      <c r="K76" s="2"/>
      <c r="L76" s="7">
        <f t="shared" si="46"/>
        <v>1212.17</v>
      </c>
      <c r="M76" s="2"/>
      <c r="N76" s="6">
        <f t="shared" si="47"/>
        <v>12.121700000000001</v>
      </c>
      <c r="O76" s="11"/>
      <c r="P76" s="7">
        <v>21095.02</v>
      </c>
      <c r="Q76" s="2"/>
      <c r="R76" s="6">
        <f t="shared" si="48"/>
        <v>0.18391877485015365</v>
      </c>
      <c r="S76" s="2"/>
      <c r="T76" s="7">
        <v>950</v>
      </c>
      <c r="U76" s="2"/>
      <c r="V76" s="6">
        <f t="shared" si="49"/>
        <v>2.7559157908172887E-3</v>
      </c>
      <c r="W76" s="2"/>
      <c r="X76" s="7">
        <f t="shared" si="50"/>
        <v>20145.02</v>
      </c>
      <c r="Y76" s="2"/>
      <c r="Z76" s="6">
        <f t="shared" si="51"/>
        <v>21.205284210526315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SUM(OSRRefD22_10x_0)</f>
        <v>82.1</v>
      </c>
      <c r="E77" s="1"/>
      <c r="F77" s="5">
        <f t="shared" ref="F77:F80" si="52">IF(D$12=0,0,D77/D$12)</f>
        <v>2.2174506070304797E-2</v>
      </c>
      <c r="G77" s="1"/>
      <c r="H77" s="1">
        <f>SUM(OSRRefH22_10x_0)</f>
        <v>165</v>
      </c>
      <c r="I77" s="1"/>
      <c r="J77" s="5">
        <f t="shared" ref="J77:J80" si="53">IF(H$12=0,0,H77/H$12)</f>
        <v>3.8823529411764705E-3</v>
      </c>
      <c r="K77" s="1"/>
      <c r="L77" s="1">
        <f t="shared" ref="L77:L80" si="54">+D77-H77</f>
        <v>-82.9</v>
      </c>
      <c r="M77" s="1"/>
      <c r="N77" s="5">
        <f t="shared" ref="N77:N80" si="55">IF(H77=0,0,L77/H77)</f>
        <v>-0.50242424242424244</v>
      </c>
      <c r="O77" s="13"/>
      <c r="P77" s="1">
        <f>SUM(OSRRefP22_10x_0)</f>
        <v>1585.5</v>
      </c>
      <c r="Q77" s="1"/>
      <c r="R77" s="5">
        <f t="shared" ref="R77:R80" si="56">IF(P$12=0,0,P77/P$12)</f>
        <v>1.3823320268239547E-2</v>
      </c>
      <c r="S77" s="1"/>
      <c r="T77" s="1">
        <f>SUM(OSRRefT22_10x_0)</f>
        <v>1650</v>
      </c>
      <c r="U77" s="1"/>
      <c r="V77" s="5">
        <f t="shared" ref="V77:V80" si="57">IF(T$12=0,0,T77/T$12)</f>
        <v>4.7865905840510804E-3</v>
      </c>
      <c r="W77" s="1"/>
      <c r="X77" s="1">
        <f t="shared" ref="X77:X80" si="58">+P77-T77</f>
        <v>-64.5</v>
      </c>
      <c r="Y77" s="1"/>
      <c r="Z77" s="5">
        <f t="shared" ref="Z77:Z80" si="59">IF(T77=0,0,X77/T77)</f>
        <v>-3.9090909090909093E-2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7">
        <v>82.1</v>
      </c>
      <c r="E78" s="2"/>
      <c r="F78" s="6">
        <f t="shared" si="52"/>
        <v>2.2174506070304797E-2</v>
      </c>
      <c r="G78" s="2"/>
      <c r="H78" s="7">
        <v>165</v>
      </c>
      <c r="I78" s="2"/>
      <c r="J78" s="6">
        <f t="shared" si="53"/>
        <v>3.8823529411764705E-3</v>
      </c>
      <c r="K78" s="2"/>
      <c r="L78" s="7">
        <f t="shared" si="54"/>
        <v>-82.9</v>
      </c>
      <c r="M78" s="2"/>
      <c r="N78" s="6">
        <f t="shared" si="55"/>
        <v>-0.50242424242424244</v>
      </c>
      <c r="O78" s="11"/>
      <c r="P78" s="7">
        <v>1585.5</v>
      </c>
      <c r="Q78" s="2"/>
      <c r="R78" s="6">
        <f t="shared" si="56"/>
        <v>1.3823320268239547E-2</v>
      </c>
      <c r="S78" s="2"/>
      <c r="T78" s="7">
        <v>1650</v>
      </c>
      <c r="U78" s="2"/>
      <c r="V78" s="6">
        <f t="shared" si="57"/>
        <v>4.7865905840510804E-3</v>
      </c>
      <c r="W78" s="2"/>
      <c r="X78" s="7">
        <f t="shared" si="58"/>
        <v>-64.5</v>
      </c>
      <c r="Y78" s="2"/>
      <c r="Z78" s="6">
        <f t="shared" si="59"/>
        <v>-3.9090909090909093E-2</v>
      </c>
    </row>
    <row r="79" spans="1:26" s="25" customFormat="1" outlineLevel="1" collapsed="1" x14ac:dyDescent="0.25">
      <c r="A79" s="27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SUM(OSRRefD22_11x_0)</f>
        <v>0</v>
      </c>
      <c r="E79" s="1"/>
      <c r="F79" s="5">
        <f t="shared" si="52"/>
        <v>0</v>
      </c>
      <c r="G79" s="1"/>
      <c r="H79" s="1">
        <f>SUM(OSRRefH22_11x_0)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3"/>
      <c r="P79" s="1">
        <f>SUM(OSRRefP22_11x_0)</f>
        <v>15.02</v>
      </c>
      <c r="Q79" s="1"/>
      <c r="R79" s="5">
        <f t="shared" si="56"/>
        <v>1.3095318223207693E-4</v>
      </c>
      <c r="S79" s="1"/>
      <c r="T79" s="1">
        <f>SUM(OSRRefT22_11x_0)</f>
        <v>0</v>
      </c>
      <c r="U79" s="1"/>
      <c r="V79" s="5">
        <f t="shared" si="57"/>
        <v>0</v>
      </c>
      <c r="W79" s="1"/>
      <c r="X79" s="1">
        <f t="shared" si="58"/>
        <v>15.02</v>
      </c>
      <c r="Y79" s="1"/>
      <c r="Z79" s="5">
        <f t="shared" si="59"/>
        <v>0</v>
      </c>
    </row>
    <row r="80" spans="1:26" s="24" customFormat="1" hidden="1" outlineLevel="2" x14ac:dyDescent="0.25">
      <c r="A80" s="26"/>
      <c r="B80" s="11" t="str">
        <f>CONCATENATE("          ", "6274", " - ", "UTILITIES")</f>
        <v xml:space="preserve">          6274 - UTILITIES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>
        <v>15.02</v>
      </c>
      <c r="Q80" s="2"/>
      <c r="R80" s="6">
        <f t="shared" si="56"/>
        <v>1.3095318223207693E-4</v>
      </c>
      <c r="S80" s="2"/>
      <c r="T80" s="7"/>
      <c r="U80" s="2"/>
      <c r="V80" s="6">
        <f t="shared" si="57"/>
        <v>0</v>
      </c>
      <c r="W80" s="2"/>
      <c r="X80" s="7">
        <f t="shared" si="58"/>
        <v>15.02</v>
      </c>
      <c r="Y80" s="2"/>
      <c r="Z80" s="6">
        <f t="shared" si="59"/>
        <v>0</v>
      </c>
    </row>
    <row r="81" spans="1:26" s="61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9" t="s">
        <v>293</v>
      </c>
      <c r="C82" s="10"/>
      <c r="D82" s="4">
        <f>SUM(OSRRefD25x_0)</f>
        <v>6782</v>
      </c>
      <c r="E82" s="4"/>
      <c r="F82" s="12">
        <f t="shared" ref="F82:F84" si="60">IF(D$12=0,0,D82/D$12)</f>
        <v>1.8317600507771881</v>
      </c>
      <c r="G82" s="4"/>
      <c r="H82" s="4">
        <f>SUM(OSRRefH25x_0)</f>
        <v>6875</v>
      </c>
      <c r="I82" s="4"/>
      <c r="J82" s="12">
        <f t="shared" ref="J82:J84" si="61">IF(H$12=0,0,H82/H$12)</f>
        <v>0.16176470588235295</v>
      </c>
      <c r="K82" s="4"/>
      <c r="L82" s="4">
        <f t="shared" ref="L82:L84" si="62">+D82-H82</f>
        <v>-93</v>
      </c>
      <c r="M82" s="4"/>
      <c r="N82" s="12">
        <f t="shared" ref="N82:N84" si="63">IF(H82=0,0,L82/H82)</f>
        <v>-1.3527272727272728E-2</v>
      </c>
      <c r="O82" s="10"/>
      <c r="P82" s="4">
        <f>SUM(OSRRefP25x_0)</f>
        <v>67820</v>
      </c>
      <c r="Q82" s="4"/>
      <c r="R82" s="12">
        <f t="shared" ref="R82:R84" si="64">IF(P$12=0,0,P82/P$12)</f>
        <v>0.59129459513844596</v>
      </c>
      <c r="S82" s="4"/>
      <c r="T82" s="4">
        <f>SUM(OSRRefT25x_0)</f>
        <v>68750</v>
      </c>
      <c r="U82" s="4"/>
      <c r="V82" s="12">
        <f t="shared" ref="V82:V84" si="65">IF(T$12=0,0,T82/T$12)</f>
        <v>0.19944127433546166</v>
      </c>
      <c r="W82" s="4"/>
      <c r="X82" s="4">
        <f t="shared" ref="X82:X84" si="66">+P82-T82</f>
        <v>-930</v>
      </c>
      <c r="Y82" s="4"/>
      <c r="Z82" s="12">
        <f t="shared" ref="Z82:Z84" si="67">IF(T82=0,0,X82/T82)</f>
        <v>-1.3527272727272728E-2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--6782</f>
        <v>6782</v>
      </c>
      <c r="E83" s="2"/>
      <c r="F83" s="19">
        <f t="shared" si="60"/>
        <v>1.8317600507771881</v>
      </c>
      <c r="G83" s="2"/>
      <c r="H83" s="2">
        <v>6875</v>
      </c>
      <c r="I83" s="2"/>
      <c r="J83" s="19">
        <f t="shared" si="61"/>
        <v>0.16176470588235295</v>
      </c>
      <c r="K83" s="2"/>
      <c r="L83" s="2">
        <f t="shared" si="62"/>
        <v>-93</v>
      </c>
      <c r="M83" s="2"/>
      <c r="N83" s="19">
        <f t="shared" si="63"/>
        <v>-1.3527272727272728E-2</v>
      </c>
      <c r="O83" s="11"/>
      <c r="P83" s="2">
        <f>--67820</f>
        <v>67820</v>
      </c>
      <c r="Q83" s="2"/>
      <c r="R83" s="19">
        <f t="shared" si="64"/>
        <v>0.59129459513844596</v>
      </c>
      <c r="S83" s="2"/>
      <c r="T83" s="2">
        <v>68750</v>
      </c>
      <c r="U83" s="2"/>
      <c r="V83" s="19">
        <f t="shared" si="65"/>
        <v>0.19944127433546166</v>
      </c>
      <c r="W83" s="2"/>
      <c r="X83" s="2">
        <f t="shared" si="66"/>
        <v>-930</v>
      </c>
      <c r="Y83" s="2"/>
      <c r="Z83" s="19">
        <f t="shared" si="67"/>
        <v>-1.3527272727272728E-2</v>
      </c>
    </row>
    <row r="84" spans="1:26" s="24" customFormat="1" hidden="1" outlineLevel="1" x14ac:dyDescent="0.25">
      <c r="A84" s="44"/>
      <c r="B84" s="11" t="str">
        <f>CONCATENATE("          ", "9163", " - ", "MISC. INCOME")</f>
        <v xml:space="preserve">          9163 - MISC. INCOME</v>
      </c>
      <c r="C84" s="11"/>
      <c r="D84" s="2">
        <f>0</f>
        <v>0</v>
      </c>
      <c r="E84" s="2"/>
      <c r="F84" s="19">
        <f t="shared" si="60"/>
        <v>0</v>
      </c>
      <c r="G84" s="2"/>
      <c r="H84" s="2"/>
      <c r="I84" s="2"/>
      <c r="J84" s="19">
        <f t="shared" si="61"/>
        <v>0</v>
      </c>
      <c r="K84" s="2"/>
      <c r="L84" s="2">
        <f t="shared" si="62"/>
        <v>0</v>
      </c>
      <c r="M84" s="2"/>
      <c r="N84" s="19">
        <f t="shared" si="63"/>
        <v>0</v>
      </c>
      <c r="O84" s="11"/>
      <c r="P84" s="2">
        <f>0</f>
        <v>0</v>
      </c>
      <c r="Q84" s="2"/>
      <c r="R84" s="19">
        <f t="shared" si="64"/>
        <v>0</v>
      </c>
      <c r="S84" s="2"/>
      <c r="T84" s="2"/>
      <c r="U84" s="2"/>
      <c r="V84" s="19">
        <f t="shared" si="65"/>
        <v>0</v>
      </c>
      <c r="W84" s="2"/>
      <c r="X84" s="2">
        <f t="shared" si="66"/>
        <v>0</v>
      </c>
      <c r="Y84" s="2"/>
      <c r="Z84" s="19">
        <f t="shared" si="67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1">
        <f>+D30-D32+D82</f>
        <v>-4810.41</v>
      </c>
      <c r="E86" s="14"/>
      <c r="F86" s="20">
        <f>IF(D$12=0,0,D86/D$12)</f>
        <v>-1.2992504962929952</v>
      </c>
      <c r="G86" s="14"/>
      <c r="H86" s="21">
        <f>+H30-H32+H82</f>
        <v>8940.9179732595949</v>
      </c>
      <c r="I86" s="14"/>
      <c r="J86" s="20">
        <f>IF(H$12=0,0,H86/H$12)</f>
        <v>0.21037454054728458</v>
      </c>
      <c r="K86" s="16"/>
      <c r="L86" s="21">
        <f>+D86-H86</f>
        <v>-13751.327973259595</v>
      </c>
      <c r="M86" s="16"/>
      <c r="N86" s="20">
        <f>IF(H86=0,0,L86/H86)</f>
        <v>-1.5380219362695111</v>
      </c>
      <c r="O86" s="29"/>
      <c r="P86" s="21">
        <f>+P30-P32+P82</f>
        <v>-90042.290000000095</v>
      </c>
      <c r="Q86" s="14"/>
      <c r="R86" s="20">
        <f>IF(P$12=0,0,P86/P$12)</f>
        <v>-0.78504157196827773</v>
      </c>
      <c r="S86" s="14"/>
      <c r="T86" s="21">
        <f>+T30-T32+T82</f>
        <v>94472.276423084782</v>
      </c>
      <c r="U86" s="14"/>
      <c r="V86" s="20">
        <f>IF(T$12=0,0,T86/T$12)</f>
        <v>0.27406067198824757</v>
      </c>
      <c r="W86" s="16"/>
      <c r="X86" s="21">
        <f>+P86-T86</f>
        <v>-184514.56642308488</v>
      </c>
      <c r="Y86" s="16"/>
      <c r="Z86" s="20">
        <f>IF(T86=0,0,X86/T86)</f>
        <v>-1.9531080800546667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>
        <v>1120.05</v>
      </c>
      <c r="E88" s="4"/>
      <c r="F88" s="12">
        <f>IF(D$12=0,0,D88/D$12)</f>
        <v>0.3025159016327027</v>
      </c>
      <c r="G88" s="4"/>
      <c r="H88" s="4">
        <v>9000</v>
      </c>
      <c r="I88" s="4"/>
      <c r="J88" s="12">
        <f>IF(H$12=0,0,H88/H$12)</f>
        <v>0.21176470588235294</v>
      </c>
      <c r="K88" s="4"/>
      <c r="L88" s="4">
        <f>+D88-H88</f>
        <v>-7879.95</v>
      </c>
      <c r="M88" s="4"/>
      <c r="N88" s="12">
        <f>IF(H88=0,0,L88/H88)</f>
        <v>-0.87554999999999994</v>
      </c>
      <c r="O88" s="10"/>
      <c r="P88" s="4">
        <v>23995.18</v>
      </c>
      <c r="Q88" s="4"/>
      <c r="R88" s="12">
        <f>IF(P$12=0,0,P88/P$12)</f>
        <v>0.20920407318451983</v>
      </c>
      <c r="S88" s="4"/>
      <c r="T88" s="4">
        <v>62442</v>
      </c>
      <c r="U88" s="4"/>
      <c r="V88" s="12">
        <f>IF(T$12=0,0,T88/T$12)</f>
        <v>0.18114199348443488</v>
      </c>
      <c r="W88" s="4"/>
      <c r="X88" s="4">
        <f>+P88-T88</f>
        <v>-38446.82</v>
      </c>
      <c r="Y88" s="4"/>
      <c r="Z88" s="12">
        <f>IF(T88=0,0,X88/T88)</f>
        <v>-0.61572050863201055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1">
        <f>+D86-D88</f>
        <v>-5930.46</v>
      </c>
      <c r="E90" s="14"/>
      <c r="F90" s="33">
        <f>IF(D$12=0,0,D90/D$12)</f>
        <v>-1.601766397925698</v>
      </c>
      <c r="G90" s="14"/>
      <c r="H90" s="31">
        <f>+H86-H88</f>
        <v>-59.082026740405126</v>
      </c>
      <c r="I90" s="14"/>
      <c r="J90" s="33">
        <f>IF(H$12=0,0,H90/H$12)</f>
        <v>-1.3901653350683559E-3</v>
      </c>
      <c r="K90" s="16"/>
      <c r="L90" s="31">
        <f>D90-H90</f>
        <v>-5871.3779732595949</v>
      </c>
      <c r="M90" s="16"/>
      <c r="N90" s="33">
        <f>IF(H90=0,0,L90/H90)</f>
        <v>99.376719066481613</v>
      </c>
      <c r="O90" s="29"/>
      <c r="P90" s="31">
        <f>+P86-P88</f>
        <v>-114037.47000000009</v>
      </c>
      <c r="Q90" s="14"/>
      <c r="R90" s="33">
        <f>IF(P$12=0,0,P90/P$12)</f>
        <v>-0.99424564515279756</v>
      </c>
      <c r="S90" s="14"/>
      <c r="T90" s="31">
        <f>+T86-T88</f>
        <v>32030.276423084782</v>
      </c>
      <c r="U90" s="14"/>
      <c r="V90" s="33">
        <f>IF(T$12=0,0,T90/T$12)</f>
        <v>9.2918678503812691E-2</v>
      </c>
      <c r="W90" s="16"/>
      <c r="X90" s="31">
        <f>P90-T90</f>
        <v>-146067.74642308487</v>
      </c>
      <c r="Y90" s="16"/>
      <c r="Z90" s="33">
        <f>IF(T90=0,0,X90/T90)</f>
        <v>-4.5603023993202658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4">
        <f>SUM(D90:D92)</f>
        <v>-5930.46</v>
      </c>
      <c r="E93" s="14"/>
      <c r="F93" s="35">
        <f>IF(D$12=0,0,D93/D$12)</f>
        <v>-1.601766397925698</v>
      </c>
      <c r="G93" s="14"/>
      <c r="H93" s="34">
        <f>SUM(H90:H92)</f>
        <v>-59.082026740405126</v>
      </c>
      <c r="I93" s="14"/>
      <c r="J93" s="35">
        <f>IF(H$12=0,0,H93/H$12)</f>
        <v>-1.3901653350683559E-3</v>
      </c>
      <c r="K93" s="16"/>
      <c r="L93" s="34">
        <f>+D93-H93</f>
        <v>-5871.3779732595949</v>
      </c>
      <c r="M93" s="16"/>
      <c r="N93" s="35">
        <f>IF(H93=0,0,L93/H93)</f>
        <v>99.376719066481613</v>
      </c>
      <c r="O93" s="29"/>
      <c r="P93" s="34">
        <f>SUM(P90:P92)</f>
        <v>-114037.47000000009</v>
      </c>
      <c r="Q93" s="14"/>
      <c r="R93" s="35">
        <f>IF(P$12=0,0,P93/P$12)</f>
        <v>-0.99424564515279756</v>
      </c>
      <c r="S93" s="14"/>
      <c r="T93" s="34">
        <f>SUM(T90:T92)</f>
        <v>32030.276423084782</v>
      </c>
      <c r="U93" s="14"/>
      <c r="V93" s="35">
        <f>IF(T$12=0,0,T93/T$12)</f>
        <v>9.2918678503812691E-2</v>
      </c>
      <c r="W93" s="16"/>
      <c r="X93" s="34">
        <f>+P93-T93</f>
        <v>-146067.74642308487</v>
      </c>
      <c r="Y93" s="16"/>
      <c r="Z93" s="35">
        <f>IF(T93=0,0,X93/T93)</f>
        <v>-4.5603023993202658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2">
        <v>44330.005790358795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3702.45</v>
      </c>
      <c r="E12" s="4"/>
      <c r="F12" s="12"/>
      <c r="G12" s="4"/>
      <c r="H12" s="4">
        <f>SUM(OSRRefH13x_0)</f>
        <v>42500</v>
      </c>
      <c r="I12" s="4"/>
      <c r="J12" s="12"/>
      <c r="K12" s="4"/>
      <c r="L12" s="4">
        <f t="shared" ref="L12:L24" si="0">+D12-H12</f>
        <v>-38797.550000000003</v>
      </c>
      <c r="M12" s="4"/>
      <c r="N12" s="12">
        <f t="shared" ref="N12:N24" si="1">IF(H12=0,0,L12/H12)</f>
        <v>-0.91288352941176476</v>
      </c>
      <c r="O12" s="10"/>
      <c r="P12" s="4">
        <f>SUM(OSRRefP13x_0)</f>
        <v>114697.48</v>
      </c>
      <c r="Q12" s="4"/>
      <c r="R12" s="12"/>
      <c r="S12" s="4"/>
      <c r="T12" s="4">
        <f>SUM(OSRRefT13x_0)</f>
        <v>344713</v>
      </c>
      <c r="U12" s="4"/>
      <c r="V12" s="12"/>
      <c r="W12" s="4"/>
      <c r="X12" s="4">
        <f t="shared" ref="X12:X24" si="2">+P12-T12</f>
        <v>-230015.52000000002</v>
      </c>
      <c r="Y12" s="4"/>
      <c r="Z12" s="12">
        <f t="shared" ref="Z12:Z24" si="3">IF(T12=0,0,X12/T12)</f>
        <v>-0.66726674073794723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13500</v>
      </c>
      <c r="I13" s="2"/>
      <c r="J13" s="19"/>
      <c r="K13" s="2"/>
      <c r="L13" s="2">
        <f t="shared" si="0"/>
        <v>-13500</v>
      </c>
      <c r="M13" s="2"/>
      <c r="N13" s="19">
        <f t="shared" si="1"/>
        <v>-1</v>
      </c>
      <c r="O13" s="11"/>
      <c r="P13" s="2">
        <f>-9.28</f>
        <v>-9.2799999999999994</v>
      </c>
      <c r="Q13" s="2"/>
      <c r="R13" s="19"/>
      <c r="S13" s="2"/>
      <c r="T13" s="2">
        <v>237213</v>
      </c>
      <c r="U13" s="2"/>
      <c r="V13" s="19"/>
      <c r="W13" s="2"/>
      <c r="X13" s="2">
        <f t="shared" si="2"/>
        <v>-237222.28</v>
      </c>
      <c r="Y13" s="2"/>
      <c r="Z13" s="19">
        <f t="shared" si="3"/>
        <v>-1.0000391209588007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--262.2</f>
        <v>262.2</v>
      </c>
      <c r="E14" s="2"/>
      <c r="F14" s="19"/>
      <c r="G14" s="2"/>
      <c r="H14" s="2"/>
      <c r="I14" s="2"/>
      <c r="J14" s="19"/>
      <c r="K14" s="2"/>
      <c r="L14" s="2">
        <f t="shared" si="0"/>
        <v>262.2</v>
      </c>
      <c r="M14" s="2"/>
      <c r="N14" s="19">
        <f t="shared" si="1"/>
        <v>0</v>
      </c>
      <c r="O14" s="11"/>
      <c r="P14" s="2">
        <f>--92920.17</f>
        <v>92920.17</v>
      </c>
      <c r="Q14" s="2"/>
      <c r="R14" s="19"/>
      <c r="S14" s="2"/>
      <c r="T14" s="2"/>
      <c r="U14" s="2"/>
      <c r="V14" s="19"/>
      <c r="W14" s="2"/>
      <c r="X14" s="2">
        <f t="shared" si="2"/>
        <v>92920.17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--1279.89</f>
        <v>1279.8900000000001</v>
      </c>
      <c r="E15" s="2"/>
      <c r="F15" s="19"/>
      <c r="G15" s="2"/>
      <c r="H15" s="2"/>
      <c r="I15" s="2"/>
      <c r="J15" s="19"/>
      <c r="K15" s="2"/>
      <c r="L15" s="2">
        <f t="shared" si="0"/>
        <v>1279.8900000000001</v>
      </c>
      <c r="M15" s="2"/>
      <c r="N15" s="19">
        <f t="shared" si="1"/>
        <v>0</v>
      </c>
      <c r="O15" s="11"/>
      <c r="P15" s="2">
        <f>--17099.84</f>
        <v>17099.84</v>
      </c>
      <c r="Q15" s="2"/>
      <c r="R15" s="19"/>
      <c r="S15" s="2"/>
      <c r="T15" s="2"/>
      <c r="U15" s="2"/>
      <c r="V15" s="19"/>
      <c r="W15" s="2"/>
      <c r="X15" s="2">
        <f t="shared" si="2"/>
        <v>17099.84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--52.68</f>
        <v>52.68</v>
      </c>
      <c r="Q16" s="2"/>
      <c r="R16" s="19"/>
      <c r="S16" s="2"/>
      <c r="T16" s="2"/>
      <c r="U16" s="2"/>
      <c r="V16" s="19"/>
      <c r="W16" s="2"/>
      <c r="X16" s="2">
        <f t="shared" si="2"/>
        <v>52.68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--2119.46</f>
        <v>2119.46</v>
      </c>
      <c r="E17" s="2"/>
      <c r="F17" s="19"/>
      <c r="G17" s="2"/>
      <c r="H17" s="2"/>
      <c r="I17" s="2"/>
      <c r="J17" s="19"/>
      <c r="K17" s="2"/>
      <c r="L17" s="2">
        <f t="shared" si="0"/>
        <v>2119.46</v>
      </c>
      <c r="M17" s="2"/>
      <c r="N17" s="19">
        <f t="shared" si="1"/>
        <v>0</v>
      </c>
      <c r="O17" s="11"/>
      <c r="P17" s="2">
        <f>--3034.59</f>
        <v>3034.59</v>
      </c>
      <c r="Q17" s="2"/>
      <c r="R17" s="19"/>
      <c r="S17" s="2"/>
      <c r="T17" s="2"/>
      <c r="U17" s="2"/>
      <c r="V17" s="19"/>
      <c r="W17" s="2"/>
      <c r="X17" s="2">
        <f t="shared" si="2"/>
        <v>3034.59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19"/>
      <c r="G18" s="2"/>
      <c r="H18" s="2">
        <v>29000</v>
      </c>
      <c r="I18" s="2"/>
      <c r="J18" s="19"/>
      <c r="K18" s="2"/>
      <c r="L18" s="2">
        <f t="shared" si="0"/>
        <v>-29000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107500</v>
      </c>
      <c r="U18" s="2"/>
      <c r="V18" s="19"/>
      <c r="W18" s="2"/>
      <c r="X18" s="2">
        <f t="shared" si="2"/>
        <v>-107500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--0.6</f>
        <v>0.6</v>
      </c>
      <c r="E19" s="2"/>
      <c r="F19" s="19"/>
      <c r="G19" s="2"/>
      <c r="H19" s="2"/>
      <c r="I19" s="2"/>
      <c r="J19" s="19"/>
      <c r="K19" s="2"/>
      <c r="L19" s="2">
        <f t="shared" si="0"/>
        <v>0.6</v>
      </c>
      <c r="M19" s="2"/>
      <c r="N19" s="19">
        <f t="shared" si="1"/>
        <v>0</v>
      </c>
      <c r="O19" s="11"/>
      <c r="P19" s="2">
        <f>--1279.24</f>
        <v>1279.24</v>
      </c>
      <c r="Q19" s="2"/>
      <c r="R19" s="19"/>
      <c r="S19" s="2"/>
      <c r="T19" s="2"/>
      <c r="U19" s="2"/>
      <c r="V19" s="19"/>
      <c r="W19" s="2"/>
      <c r="X19" s="2">
        <f t="shared" si="2"/>
        <v>1279.24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--22.1</f>
        <v>22.1</v>
      </c>
      <c r="E20" s="2"/>
      <c r="F20" s="19"/>
      <c r="G20" s="2"/>
      <c r="H20" s="2"/>
      <c r="I20" s="2"/>
      <c r="J20" s="19"/>
      <c r="K20" s="2"/>
      <c r="L20" s="2">
        <f t="shared" si="0"/>
        <v>22.1</v>
      </c>
      <c r="M20" s="2"/>
      <c r="N20" s="19">
        <f t="shared" si="1"/>
        <v>0</v>
      </c>
      <c r="O20" s="11"/>
      <c r="P20" s="2">
        <f>--1132.69</f>
        <v>1132.69</v>
      </c>
      <c r="Q20" s="2"/>
      <c r="R20" s="19"/>
      <c r="S20" s="2"/>
      <c r="T20" s="2"/>
      <c r="U20" s="2"/>
      <c r="V20" s="19"/>
      <c r="W20" s="2"/>
      <c r="X20" s="2">
        <f t="shared" si="2"/>
        <v>1132.69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--30.2</f>
        <v>30.2</v>
      </c>
      <c r="E21" s="2"/>
      <c r="F21" s="19"/>
      <c r="G21" s="2"/>
      <c r="H21" s="2"/>
      <c r="I21" s="2"/>
      <c r="J21" s="19"/>
      <c r="K21" s="2"/>
      <c r="L21" s="2">
        <f t="shared" si="0"/>
        <v>30.2</v>
      </c>
      <c r="M21" s="2"/>
      <c r="N21" s="19">
        <f t="shared" si="1"/>
        <v>0</v>
      </c>
      <c r="O21" s="11"/>
      <c r="P21" s="2">
        <f>--329.3</f>
        <v>329.3</v>
      </c>
      <c r="Q21" s="2"/>
      <c r="R21" s="19"/>
      <c r="S21" s="2"/>
      <c r="T21" s="2"/>
      <c r="U21" s="2"/>
      <c r="V21" s="19"/>
      <c r="W21" s="2"/>
      <c r="X21" s="2">
        <f t="shared" si="2"/>
        <v>329.3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--11</f>
        <v>11</v>
      </c>
      <c r="E22" s="2"/>
      <c r="F22" s="19"/>
      <c r="G22" s="2"/>
      <c r="H22" s="2"/>
      <c r="I22" s="2"/>
      <c r="J22" s="19"/>
      <c r="K22" s="2"/>
      <c r="L22" s="2">
        <f t="shared" si="0"/>
        <v>11</v>
      </c>
      <c r="M22" s="2"/>
      <c r="N22" s="19">
        <f t="shared" si="1"/>
        <v>0</v>
      </c>
      <c r="O22" s="11"/>
      <c r="P22" s="2">
        <f>--154.5</f>
        <v>154.5</v>
      </c>
      <c r="Q22" s="2"/>
      <c r="R22" s="19"/>
      <c r="S22" s="2"/>
      <c r="T22" s="2"/>
      <c r="U22" s="2"/>
      <c r="V22" s="19"/>
      <c r="W22" s="2"/>
      <c r="X22" s="2">
        <f t="shared" si="2"/>
        <v>154.5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-23</f>
        <v>-23</v>
      </c>
      <c r="E23" s="2"/>
      <c r="F23" s="19"/>
      <c r="G23" s="2"/>
      <c r="H23" s="2"/>
      <c r="I23" s="2"/>
      <c r="J23" s="19"/>
      <c r="K23" s="2"/>
      <c r="L23" s="2">
        <f t="shared" si="0"/>
        <v>-23</v>
      </c>
      <c r="M23" s="2"/>
      <c r="N23" s="19">
        <f t="shared" si="1"/>
        <v>0</v>
      </c>
      <c r="O23" s="11"/>
      <c r="P23" s="2">
        <f>-1285.05</f>
        <v>-1285.05</v>
      </c>
      <c r="Q23" s="2"/>
      <c r="R23" s="19"/>
      <c r="S23" s="2"/>
      <c r="T23" s="2"/>
      <c r="U23" s="2"/>
      <c r="V23" s="19"/>
      <c r="W23" s="2"/>
      <c r="X23" s="2">
        <f t="shared" si="2"/>
        <v>-1285.05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-11.2</f>
        <v>-11.2</v>
      </c>
      <c r="Q24" s="2"/>
      <c r="R24" s="19"/>
      <c r="S24" s="2"/>
      <c r="T24" s="2"/>
      <c r="U24" s="2"/>
      <c r="V24" s="19"/>
      <c r="W24" s="2"/>
      <c r="X24" s="2">
        <f t="shared" si="2"/>
        <v>-11.2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257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108</v>
      </c>
      <c r="C28" s="28"/>
      <c r="D28" s="21">
        <f>D12-D26</f>
        <v>3702.45</v>
      </c>
      <c r="E28" s="14"/>
      <c r="F28" s="20">
        <f>IF(D$12=0,0,D28/D$12)</f>
        <v>1</v>
      </c>
      <c r="G28" s="14"/>
      <c r="H28" s="21">
        <f>H12-H26</f>
        <v>42500</v>
      </c>
      <c r="I28" s="14"/>
      <c r="J28" s="20">
        <f>IF(H$12=0,0,H28/H$12)</f>
        <v>1</v>
      </c>
      <c r="K28" s="16"/>
      <c r="L28" s="21">
        <f>+D28-H28</f>
        <v>-38797.550000000003</v>
      </c>
      <c r="M28" s="16"/>
      <c r="N28" s="20">
        <f>IF(H28=0,0,L28/H28)</f>
        <v>-0.91288352941176476</v>
      </c>
      <c r="O28" s="29"/>
      <c r="P28" s="21">
        <f>P12-P26</f>
        <v>114697.48</v>
      </c>
      <c r="Q28" s="14"/>
      <c r="R28" s="20">
        <f>IF(P$12=0,0,P28/P$12)</f>
        <v>1</v>
      </c>
      <c r="S28" s="14"/>
      <c r="T28" s="21">
        <f>T12-T26</f>
        <v>344713</v>
      </c>
      <c r="U28" s="14"/>
      <c r="V28" s="20">
        <f>IF(T$12=0,0,T28/T$12)</f>
        <v>1</v>
      </c>
      <c r="W28" s="16"/>
      <c r="X28" s="21">
        <f>+P28-T28</f>
        <v>-230015.52000000002</v>
      </c>
      <c r="Y28" s="16"/>
      <c r="Z28" s="20">
        <f>IF(T28=0,0,X28/T28)</f>
        <v>-0.66726674073794723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295</v>
      </c>
      <c r="C30" s="10"/>
      <c r="D30" s="22">
        <f>SUM(OSRRefD22x_0)</f>
        <v>15294.86</v>
      </c>
      <c r="E30" s="22"/>
      <c r="F30" s="32">
        <f t="shared" ref="F30:F40" si="4">IF(D$12=0,0,D30/D$12)</f>
        <v>4.1310105470701837</v>
      </c>
      <c r="G30" s="22"/>
      <c r="H30" s="22">
        <f>SUM(OSRRefH22x_0)</f>
        <v>40434.082026740405</v>
      </c>
      <c r="I30" s="22"/>
      <c r="J30" s="32">
        <f t="shared" ref="J30:J40" si="5">IF(H$12=0,0,H30/H$12)</f>
        <v>0.95139016533506837</v>
      </c>
      <c r="K30" s="4"/>
      <c r="L30" s="22">
        <f t="shared" ref="L30:L40" si="6">+D30-H30</f>
        <v>-25139.222026740405</v>
      </c>
      <c r="M30" s="4"/>
      <c r="N30" s="32">
        <f t="shared" ref="N30:N40" si="7">IF(H30=0,0,L30/H30)</f>
        <v>-0.62173346757606618</v>
      </c>
      <c r="O30" s="10"/>
      <c r="P30" s="22">
        <f>SUM(OSRRefP22x_0)</f>
        <v>272559.77000000008</v>
      </c>
      <c r="Q30" s="22"/>
      <c r="R30" s="32">
        <f t="shared" ref="R30:R40" si="8">IF(P$12=0,0,P30/P$12)</f>
        <v>2.3763361671067238</v>
      </c>
      <c r="S30" s="22"/>
      <c r="T30" s="22">
        <f>SUM(OSRRefT22x_0)</f>
        <v>318990.72357691522</v>
      </c>
      <c r="U30" s="22"/>
      <c r="V30" s="32">
        <f t="shared" ref="V30:V40" si="9">IF(T$12=0,0,T30/T$12)</f>
        <v>0.92538060234721409</v>
      </c>
      <c r="W30" s="4"/>
      <c r="X30" s="22">
        <f t="shared" ref="X30:X40" si="10">+P30-T30</f>
        <v>-46430.953576915141</v>
      </c>
      <c r="Y30" s="4"/>
      <c r="Z30" s="32">
        <f t="shared" ref="Z30:Z40" si="11">IF(T30=0,0,X30/T30)</f>
        <v>-0.14555581132979148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10512.210000000001</v>
      </c>
      <c r="E31" s="1"/>
      <c r="F31" s="5">
        <f t="shared" si="4"/>
        <v>2.839257788761496</v>
      </c>
      <c r="G31" s="1"/>
      <c r="H31" s="1">
        <f>SUM(OSRRefH22_0x_0)</f>
        <v>7338.1963248173006</v>
      </c>
      <c r="I31" s="1"/>
      <c r="J31" s="5">
        <f t="shared" si="5"/>
        <v>0.17266344293687766</v>
      </c>
      <c r="K31" s="1"/>
      <c r="L31" s="1">
        <f t="shared" si="6"/>
        <v>3174.0136751827004</v>
      </c>
      <c r="M31" s="1"/>
      <c r="N31" s="5">
        <f t="shared" si="7"/>
        <v>0.43253321861237121</v>
      </c>
      <c r="O31" s="13"/>
      <c r="P31" s="1">
        <f>SUM(OSRRefP22_0x_0)</f>
        <v>94898.33</v>
      </c>
      <c r="Q31" s="1"/>
      <c r="R31" s="5">
        <f t="shared" si="8"/>
        <v>0.82737938095937247</v>
      </c>
      <c r="S31" s="1"/>
      <c r="T31" s="1">
        <f>SUM(OSRRefT22_0x_0)</f>
        <v>67690.129399992191</v>
      </c>
      <c r="U31" s="1"/>
      <c r="V31" s="5">
        <f t="shared" si="9"/>
        <v>0.19636662789042533</v>
      </c>
      <c r="W31" s="1"/>
      <c r="X31" s="1">
        <f t="shared" si="10"/>
        <v>27208.200600007811</v>
      </c>
      <c r="Y31" s="1"/>
      <c r="Z31" s="5">
        <f t="shared" si="11"/>
        <v>0.40195226159533609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7">
        <v>1823.33</v>
      </c>
      <c r="E32" s="2"/>
      <c r="F32" s="6">
        <f t="shared" si="4"/>
        <v>0.49246579967318937</v>
      </c>
      <c r="G32" s="2"/>
      <c r="H32" s="7">
        <v>1301.96978922115</v>
      </c>
      <c r="I32" s="2"/>
      <c r="J32" s="6">
        <f t="shared" si="5"/>
        <v>3.0634583275791764E-2</v>
      </c>
      <c r="K32" s="2"/>
      <c r="L32" s="7">
        <f t="shared" si="6"/>
        <v>521.36021077884993</v>
      </c>
      <c r="M32" s="2"/>
      <c r="N32" s="6">
        <f t="shared" si="7"/>
        <v>0.40043956095996075</v>
      </c>
      <c r="O32" s="11"/>
      <c r="P32" s="7">
        <v>13291.02</v>
      </c>
      <c r="Q32" s="2"/>
      <c r="R32" s="6">
        <f t="shared" si="8"/>
        <v>0.1158789190486138</v>
      </c>
      <c r="S32" s="2"/>
      <c r="T32" s="7">
        <v>11487.5634951461</v>
      </c>
      <c r="U32" s="2"/>
      <c r="V32" s="6">
        <f t="shared" si="9"/>
        <v>3.3325008036094082E-2</v>
      </c>
      <c r="W32" s="2"/>
      <c r="X32" s="7">
        <f t="shared" si="10"/>
        <v>1803.4565048539007</v>
      </c>
      <c r="Y32" s="2"/>
      <c r="Z32" s="6">
        <f t="shared" si="11"/>
        <v>0.15699208153373206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7">
        <v>306.89</v>
      </c>
      <c r="E33" s="2"/>
      <c r="F33" s="6">
        <f t="shared" si="4"/>
        <v>8.2888357709084523E-2</v>
      </c>
      <c r="G33" s="2"/>
      <c r="H33" s="7">
        <v>349.98330240384598</v>
      </c>
      <c r="I33" s="2"/>
      <c r="J33" s="6">
        <f t="shared" si="5"/>
        <v>8.2349012330316697E-3</v>
      </c>
      <c r="K33" s="2"/>
      <c r="L33" s="7">
        <f t="shared" si="6"/>
        <v>-43.093302403845996</v>
      </c>
      <c r="M33" s="2"/>
      <c r="N33" s="6">
        <f t="shared" si="7"/>
        <v>-0.12312959534886783</v>
      </c>
      <c r="O33" s="11"/>
      <c r="P33" s="7">
        <v>3337.15</v>
      </c>
      <c r="Q33" s="2"/>
      <c r="R33" s="6">
        <f t="shared" si="8"/>
        <v>2.9095233827281995E-2</v>
      </c>
      <c r="S33" s="2"/>
      <c r="T33" s="7">
        <v>3014.7941111538498</v>
      </c>
      <c r="U33" s="2"/>
      <c r="V33" s="6">
        <f t="shared" si="9"/>
        <v>8.7458091547282808E-3</v>
      </c>
      <c r="W33" s="2"/>
      <c r="X33" s="7">
        <f t="shared" si="10"/>
        <v>322.35588884615026</v>
      </c>
      <c r="Y33" s="2"/>
      <c r="Z33" s="6">
        <f t="shared" si="11"/>
        <v>0.10692467775942924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7">
        <v>3421.48</v>
      </c>
      <c r="E34" s="2"/>
      <c r="F34" s="6">
        <f t="shared" si="4"/>
        <v>0.92411241205147943</v>
      </c>
      <c r="G34" s="2"/>
      <c r="H34" s="7">
        <v>2645</v>
      </c>
      <c r="I34" s="2"/>
      <c r="J34" s="6">
        <f t="shared" si="5"/>
        <v>6.2235294117647062E-2</v>
      </c>
      <c r="K34" s="2"/>
      <c r="L34" s="7">
        <f t="shared" si="6"/>
        <v>776.48</v>
      </c>
      <c r="M34" s="2"/>
      <c r="N34" s="6">
        <f t="shared" si="7"/>
        <v>0.29356521739130437</v>
      </c>
      <c r="O34" s="11"/>
      <c r="P34" s="7">
        <v>36057.25</v>
      </c>
      <c r="Q34" s="2"/>
      <c r="R34" s="6">
        <f t="shared" si="8"/>
        <v>0.31436828429011693</v>
      </c>
      <c r="S34" s="2"/>
      <c r="T34" s="7">
        <v>26450</v>
      </c>
      <c r="U34" s="2"/>
      <c r="V34" s="6">
        <f t="shared" si="9"/>
        <v>7.6730497544333975E-2</v>
      </c>
      <c r="W34" s="2"/>
      <c r="X34" s="7">
        <f t="shared" si="10"/>
        <v>9607.25</v>
      </c>
      <c r="Y34" s="2"/>
      <c r="Z34" s="6">
        <f t="shared" si="11"/>
        <v>0.36322306238185254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43.13</v>
      </c>
      <c r="E35" s="2"/>
      <c r="F35" s="6">
        <f t="shared" si="4"/>
        <v>1.1649043201123581E-2</v>
      </c>
      <c r="G35" s="2"/>
      <c r="H35" s="7">
        <v>53.822850500000001</v>
      </c>
      <c r="I35" s="2"/>
      <c r="J35" s="6">
        <f t="shared" si="5"/>
        <v>1.2664200117647058E-3</v>
      </c>
      <c r="K35" s="2"/>
      <c r="L35" s="7">
        <f t="shared" si="6"/>
        <v>-10.692850499999999</v>
      </c>
      <c r="M35" s="2"/>
      <c r="N35" s="6">
        <f t="shared" si="7"/>
        <v>-0.19866748789159724</v>
      </c>
      <c r="O35" s="11"/>
      <c r="P35" s="7">
        <v>468.99</v>
      </c>
      <c r="Q35" s="2"/>
      <c r="R35" s="6">
        <f t="shared" si="8"/>
        <v>4.088930288616629E-3</v>
      </c>
      <c r="S35" s="2"/>
      <c r="T35" s="7">
        <v>464.28242599999999</v>
      </c>
      <c r="U35" s="2"/>
      <c r="V35" s="6">
        <f t="shared" si="9"/>
        <v>1.3468665991709045E-3</v>
      </c>
      <c r="W35" s="2"/>
      <c r="X35" s="7">
        <f t="shared" si="10"/>
        <v>4.7075740000000224</v>
      </c>
      <c r="Y35" s="2"/>
      <c r="Z35" s="6">
        <f t="shared" si="11"/>
        <v>1.0139461966195598E-2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7">
        <v>1596.69</v>
      </c>
      <c r="E36" s="2"/>
      <c r="F36" s="6">
        <f t="shared" si="4"/>
        <v>0.43125227889640649</v>
      </c>
      <c r="G36" s="2"/>
      <c r="H36" s="7">
        <v>1239.9085557692299</v>
      </c>
      <c r="I36" s="2"/>
      <c r="J36" s="6">
        <f t="shared" si="5"/>
        <v>2.9174318959275997E-2</v>
      </c>
      <c r="K36" s="2"/>
      <c r="L36" s="7">
        <f t="shared" si="6"/>
        <v>356.78144423077015</v>
      </c>
      <c r="M36" s="2"/>
      <c r="N36" s="6">
        <f t="shared" si="7"/>
        <v>0.28774819124417256</v>
      </c>
      <c r="O36" s="11"/>
      <c r="P36" s="7">
        <v>17311.48</v>
      </c>
      <c r="Q36" s="2"/>
      <c r="R36" s="6">
        <f t="shared" si="8"/>
        <v>0.15093165080871873</v>
      </c>
      <c r="S36" s="2"/>
      <c r="T36" s="7">
        <v>10911.195290769199</v>
      </c>
      <c r="U36" s="2"/>
      <c r="V36" s="6">
        <f t="shared" si="9"/>
        <v>3.1652984630023237E-2</v>
      </c>
      <c r="W36" s="2"/>
      <c r="X36" s="7">
        <f t="shared" si="10"/>
        <v>6400.2847092308002</v>
      </c>
      <c r="Y36" s="2"/>
      <c r="Z36" s="6">
        <f t="shared" si="11"/>
        <v>0.58657961283539661</v>
      </c>
    </row>
    <row r="37" spans="1:26" s="24" customFormat="1" hidden="1" outlineLevel="2" x14ac:dyDescent="0.25">
      <c r="A37" s="26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4"/>
        <v>0</v>
      </c>
      <c r="G37" s="2"/>
      <c r="H37" s="7">
        <v>0</v>
      </c>
      <c r="I37" s="2"/>
      <c r="J37" s="6">
        <f t="shared" si="5"/>
        <v>0</v>
      </c>
      <c r="K37" s="2"/>
      <c r="L37" s="7">
        <f t="shared" si="6"/>
        <v>0</v>
      </c>
      <c r="M37" s="2"/>
      <c r="N37" s="6">
        <f t="shared" si="7"/>
        <v>0</v>
      </c>
      <c r="O37" s="11"/>
      <c r="P37" s="7"/>
      <c r="Q37" s="2"/>
      <c r="R37" s="6">
        <f t="shared" si="8"/>
        <v>0</v>
      </c>
      <c r="S37" s="2"/>
      <c r="T37" s="7">
        <v>0</v>
      </c>
      <c r="U37" s="2"/>
      <c r="V37" s="6">
        <f t="shared" si="9"/>
        <v>0</v>
      </c>
      <c r="W37" s="2"/>
      <c r="X37" s="7">
        <f t="shared" si="10"/>
        <v>0</v>
      </c>
      <c r="Y37" s="2"/>
      <c r="Z37" s="6">
        <f t="shared" si="11"/>
        <v>0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7">
        <v>1824.15</v>
      </c>
      <c r="E38" s="2"/>
      <c r="F38" s="6">
        <f t="shared" si="4"/>
        <v>0.49268727464246653</v>
      </c>
      <c r="G38" s="2"/>
      <c r="H38" s="7">
        <v>1195.7663557692299</v>
      </c>
      <c r="I38" s="2"/>
      <c r="J38" s="6">
        <f t="shared" si="5"/>
        <v>2.8135678959275996E-2</v>
      </c>
      <c r="K38" s="2"/>
      <c r="L38" s="7">
        <f t="shared" si="6"/>
        <v>628.38364423077019</v>
      </c>
      <c r="M38" s="2"/>
      <c r="N38" s="6">
        <f t="shared" si="7"/>
        <v>0.52550704508368151</v>
      </c>
      <c r="O38" s="11"/>
      <c r="P38" s="7">
        <v>13139.88</v>
      </c>
      <c r="Q38" s="2"/>
      <c r="R38" s="6">
        <f t="shared" si="8"/>
        <v>0.11456119175416932</v>
      </c>
      <c r="S38" s="2"/>
      <c r="T38" s="7">
        <v>10522.7439307692</v>
      </c>
      <c r="U38" s="2"/>
      <c r="V38" s="6">
        <f t="shared" si="9"/>
        <v>3.0526101222666972E-2</v>
      </c>
      <c r="W38" s="2"/>
      <c r="X38" s="7">
        <f t="shared" si="10"/>
        <v>2617.136069230799</v>
      </c>
      <c r="Y38" s="2"/>
      <c r="Z38" s="6">
        <f t="shared" si="11"/>
        <v>0.24871232127754433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7">
        <v>1107.75</v>
      </c>
      <c r="E39" s="2"/>
      <c r="F39" s="6">
        <f t="shared" si="4"/>
        <v>0.29919377709354616</v>
      </c>
      <c r="G39" s="2"/>
      <c r="H39" s="7">
        <v>551.74547115384598</v>
      </c>
      <c r="I39" s="2"/>
      <c r="J39" s="6">
        <f t="shared" si="5"/>
        <v>1.2982246380090493E-2</v>
      </c>
      <c r="K39" s="2"/>
      <c r="L39" s="7">
        <f t="shared" si="6"/>
        <v>556.00452884615402</v>
      </c>
      <c r="M39" s="2"/>
      <c r="N39" s="6">
        <f t="shared" si="7"/>
        <v>1.0077192435914357</v>
      </c>
      <c r="O39" s="11"/>
      <c r="P39" s="7">
        <v>8017.52</v>
      </c>
      <c r="Q39" s="2"/>
      <c r="R39" s="6">
        <f t="shared" si="8"/>
        <v>6.9901448575853634E-2</v>
      </c>
      <c r="S39" s="2"/>
      <c r="T39" s="7">
        <v>4839.5501461538497</v>
      </c>
      <c r="U39" s="2"/>
      <c r="V39" s="6">
        <f t="shared" si="9"/>
        <v>1.4039360703407907E-2</v>
      </c>
      <c r="W39" s="2"/>
      <c r="X39" s="7">
        <f t="shared" si="10"/>
        <v>3177.9698538461507</v>
      </c>
      <c r="Y39" s="2"/>
      <c r="Z39" s="6">
        <f t="shared" si="11"/>
        <v>0.6566663755662886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7">
        <v>388.79</v>
      </c>
      <c r="E40" s="2"/>
      <c r="F40" s="6">
        <f t="shared" si="4"/>
        <v>0.1050088454941998</v>
      </c>
      <c r="G40" s="2"/>
      <c r="H40" s="7"/>
      <c r="I40" s="2"/>
      <c r="J40" s="6">
        <f t="shared" si="5"/>
        <v>0</v>
      </c>
      <c r="K40" s="2"/>
      <c r="L40" s="7">
        <f t="shared" si="6"/>
        <v>388.79</v>
      </c>
      <c r="M40" s="2"/>
      <c r="N40" s="6">
        <f t="shared" si="7"/>
        <v>0</v>
      </c>
      <c r="O40" s="11"/>
      <c r="P40" s="7">
        <v>3275.04</v>
      </c>
      <c r="Q40" s="2"/>
      <c r="R40" s="6">
        <f t="shared" si="8"/>
        <v>2.8553722366001417E-2</v>
      </c>
      <c r="S40" s="2"/>
      <c r="T40" s="7"/>
      <c r="U40" s="2"/>
      <c r="V40" s="6">
        <f t="shared" si="9"/>
        <v>0</v>
      </c>
      <c r="W40" s="2"/>
      <c r="X40" s="7">
        <f t="shared" si="10"/>
        <v>3275.04</v>
      </c>
      <c r="Y40" s="2"/>
      <c r="Z40" s="6">
        <f t="shared" si="11"/>
        <v>0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16035.06</v>
      </c>
      <c r="E41" s="1"/>
      <c r="F41" s="5">
        <f t="shared" ref="F41:F51" si="12">IF(D$12=0,0,D41/D$12)</f>
        <v>4.3309322205566589</v>
      </c>
      <c r="G41" s="1"/>
      <c r="H41" s="1">
        <f>SUM(OSRRefH22_1x_0)</f>
        <v>12746.8857019231</v>
      </c>
      <c r="I41" s="1"/>
      <c r="J41" s="5">
        <f t="shared" ref="J41:J51" si="13">IF(H$12=0,0,H41/H$12)</f>
        <v>0.29992672239819057</v>
      </c>
      <c r="K41" s="1"/>
      <c r="L41" s="1">
        <f t="shared" ref="L41:L51" si="14">+D41-H41</f>
        <v>3288.1742980768995</v>
      </c>
      <c r="M41" s="1"/>
      <c r="N41" s="5">
        <f t="shared" ref="N41:N51" si="15">IF(H41=0,0,L41/H41)</f>
        <v>0.25795903210937388</v>
      </c>
      <c r="O41" s="13"/>
      <c r="P41" s="1">
        <f>SUM(OSRRefP22_1x_0)</f>
        <v>154853.63</v>
      </c>
      <c r="Q41" s="1"/>
      <c r="R41" s="5">
        <f t="shared" ref="R41:R51" si="16">IF(P$12=0,0,P41/P$12)</f>
        <v>1.3501049020431837</v>
      </c>
      <c r="S41" s="1"/>
      <c r="T41" s="1">
        <f>SUM(OSRRefT22_1x_0)</f>
        <v>112172.594176923</v>
      </c>
      <c r="U41" s="1"/>
      <c r="V41" s="5">
        <f t="shared" ref="V41:V51" si="17">IF(T$12=0,0,T41/T$12)</f>
        <v>0.32540865640960159</v>
      </c>
      <c r="W41" s="1"/>
      <c r="X41" s="1">
        <f t="shared" ref="X41:X51" si="18">+P41-T41</f>
        <v>42681.035823077007</v>
      </c>
      <c r="Y41" s="1"/>
      <c r="Z41" s="5">
        <f t="shared" ref="Z41:Z51" si="19">IF(T41=0,0,X41/T41)</f>
        <v>0.38049432783696535</v>
      </c>
    </row>
    <row r="42" spans="1:26" s="24" customFormat="1" hidden="1" outlineLevel="2" x14ac:dyDescent="0.25">
      <c r="A42" s="26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7">
        <v>15385.34</v>
      </c>
      <c r="E43" s="2"/>
      <c r="F43" s="6">
        <f t="shared" si="12"/>
        <v>4.1554484192899297</v>
      </c>
      <c r="G43" s="2"/>
      <c r="H43" s="7">
        <v>12746.8857019231</v>
      </c>
      <c r="I43" s="2"/>
      <c r="J43" s="6">
        <f t="shared" si="13"/>
        <v>0.29992672239819057</v>
      </c>
      <c r="K43" s="2"/>
      <c r="L43" s="7">
        <f t="shared" si="14"/>
        <v>2638.4542980769002</v>
      </c>
      <c r="M43" s="2"/>
      <c r="N43" s="6">
        <f t="shared" si="15"/>
        <v>0.20698815065697507</v>
      </c>
      <c r="O43" s="11"/>
      <c r="P43" s="7">
        <v>147857.13</v>
      </c>
      <c r="Q43" s="2"/>
      <c r="R43" s="6">
        <f t="shared" si="16"/>
        <v>1.2891053055394068</v>
      </c>
      <c r="S43" s="2"/>
      <c r="T43" s="7">
        <v>112172.594176923</v>
      </c>
      <c r="U43" s="2"/>
      <c r="V43" s="6">
        <f t="shared" si="17"/>
        <v>0.32540865640960159</v>
      </c>
      <c r="W43" s="2"/>
      <c r="X43" s="7">
        <f t="shared" si="18"/>
        <v>35684.535823077007</v>
      </c>
      <c r="Y43" s="2"/>
      <c r="Z43" s="6">
        <f t="shared" si="19"/>
        <v>0.31812169527606682</v>
      </c>
    </row>
    <row r="44" spans="1:26" s="24" customFormat="1" hidden="1" outlineLevel="2" x14ac:dyDescent="0.25">
      <c r="A44" s="26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/>
      <c r="Q44" s="2"/>
      <c r="R44" s="6">
        <f t="shared" si="16"/>
        <v>0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/>
      <c r="Q45" s="2"/>
      <c r="R45" s="6">
        <f t="shared" si="16"/>
        <v>0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0</v>
      </c>
      <c r="Y45" s="2"/>
      <c r="Z45" s="6">
        <f t="shared" si="19"/>
        <v>0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12"/>
        <v>0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0</v>
      </c>
      <c r="M46" s="2"/>
      <c r="N46" s="6">
        <f t="shared" si="15"/>
        <v>0</v>
      </c>
      <c r="O46" s="11"/>
      <c r="P46" s="7">
        <v>383.25</v>
      </c>
      <c r="Q46" s="2"/>
      <c r="R46" s="6">
        <f t="shared" si="16"/>
        <v>3.3413986078857181E-3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383.25</v>
      </c>
      <c r="Y46" s="2"/>
      <c r="Z46" s="6">
        <f t="shared" si="19"/>
        <v>0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12"/>
        <v>0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0</v>
      </c>
      <c r="M47" s="2"/>
      <c r="N47" s="6">
        <f t="shared" si="15"/>
        <v>0</v>
      </c>
      <c r="O47" s="11"/>
      <c r="P47" s="7"/>
      <c r="Q47" s="2"/>
      <c r="R47" s="6">
        <f t="shared" si="16"/>
        <v>0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0</v>
      </c>
      <c r="Y47" s="2"/>
      <c r="Z47" s="6">
        <f t="shared" si="19"/>
        <v>0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7">
        <v>649.72</v>
      </c>
      <c r="E48" s="2"/>
      <c r="F48" s="6">
        <f t="shared" si="12"/>
        <v>0.1754838012667288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649.72</v>
      </c>
      <c r="M48" s="2"/>
      <c r="N48" s="6">
        <f t="shared" si="15"/>
        <v>0</v>
      </c>
      <c r="O48" s="11"/>
      <c r="P48" s="7">
        <v>6613.25</v>
      </c>
      <c r="Q48" s="2"/>
      <c r="R48" s="6">
        <f t="shared" si="16"/>
        <v>5.7658197895891002E-2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6613.25</v>
      </c>
      <c r="Y48" s="2"/>
      <c r="Z48" s="6">
        <f t="shared" si="19"/>
        <v>0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25">
      <c r="A50" s="26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12"/>
        <v>0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0</v>
      </c>
      <c r="M50" s="2"/>
      <c r="N50" s="6">
        <f t="shared" si="15"/>
        <v>0</v>
      </c>
      <c r="O50" s="11"/>
      <c r="P50" s="7"/>
      <c r="Q50" s="2"/>
      <c r="R50" s="6">
        <f t="shared" si="16"/>
        <v>0</v>
      </c>
      <c r="S50" s="2"/>
      <c r="T50" s="7">
        <v>0</v>
      </c>
      <c r="U50" s="2"/>
      <c r="V50" s="6">
        <f t="shared" si="17"/>
        <v>0</v>
      </c>
      <c r="W50" s="2"/>
      <c r="X50" s="7">
        <f t="shared" si="18"/>
        <v>0</v>
      </c>
      <c r="Y50" s="2"/>
      <c r="Z50" s="6">
        <f t="shared" si="19"/>
        <v>0</v>
      </c>
    </row>
    <row r="51" spans="1:26" s="24" customFormat="1" hidden="1" outlineLevel="2" x14ac:dyDescent="0.25">
      <c r="A51" s="26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12"/>
        <v>0</v>
      </c>
      <c r="G51" s="2"/>
      <c r="H51" s="7">
        <v>0</v>
      </c>
      <c r="I51" s="2"/>
      <c r="J51" s="6">
        <f t="shared" si="13"/>
        <v>0</v>
      </c>
      <c r="K51" s="2"/>
      <c r="L51" s="7">
        <f t="shared" si="14"/>
        <v>0</v>
      </c>
      <c r="M51" s="2"/>
      <c r="N51" s="6">
        <f t="shared" si="15"/>
        <v>0</v>
      </c>
      <c r="O51" s="11"/>
      <c r="P51" s="7"/>
      <c r="Q51" s="2"/>
      <c r="R51" s="6">
        <f t="shared" si="16"/>
        <v>0</v>
      </c>
      <c r="S51" s="2"/>
      <c r="T51" s="7">
        <v>0</v>
      </c>
      <c r="U51" s="2"/>
      <c r="V51" s="6">
        <f t="shared" si="17"/>
        <v>0</v>
      </c>
      <c r="W51" s="2"/>
      <c r="X51" s="7">
        <f t="shared" si="18"/>
        <v>0</v>
      </c>
      <c r="Y51" s="2"/>
      <c r="Z51" s="6">
        <f t="shared" si="19"/>
        <v>0</v>
      </c>
    </row>
    <row r="52" spans="1:26" s="25" customFormat="1" outlineLevel="1" collapsed="1" x14ac:dyDescent="0.25">
      <c r="A52" s="27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0</v>
      </c>
      <c r="E52" s="1"/>
      <c r="F52" s="5">
        <f t="shared" ref="F52:F62" si="20">IF(D$12=0,0,D52/D$12)</f>
        <v>0</v>
      </c>
      <c r="G52" s="1"/>
      <c r="H52" s="1">
        <f>SUM(OSRRefH22_2x_0)</f>
        <v>50</v>
      </c>
      <c r="I52" s="1"/>
      <c r="J52" s="5">
        <f t="shared" ref="J52:J62" si="21">IF(H$12=0,0,H52/H$12)</f>
        <v>1.176470588235294E-3</v>
      </c>
      <c r="K52" s="1"/>
      <c r="L52" s="1">
        <f t="shared" ref="L52:L62" si="22">+D52-H52</f>
        <v>-50</v>
      </c>
      <c r="M52" s="1"/>
      <c r="N52" s="5">
        <f t="shared" ref="N52:N62" si="23">IF(H52=0,0,L52/H52)</f>
        <v>-1</v>
      </c>
      <c r="O52" s="13"/>
      <c r="P52" s="1">
        <f>SUM(OSRRefP22_2x_0)</f>
        <v>0</v>
      </c>
      <c r="Q52" s="1"/>
      <c r="R52" s="5">
        <f t="shared" ref="R52:R62" si="24">IF(P$12=0,0,P52/P$12)</f>
        <v>0</v>
      </c>
      <c r="S52" s="1"/>
      <c r="T52" s="1">
        <f>SUM(OSRRefT22_2x_0)</f>
        <v>500</v>
      </c>
      <c r="U52" s="1"/>
      <c r="V52" s="5">
        <f t="shared" ref="V52:V62" si="25">IF(T$12=0,0,T52/T$12)</f>
        <v>1.4504819951669939E-3</v>
      </c>
      <c r="W52" s="1"/>
      <c r="X52" s="1">
        <f t="shared" ref="X52:X62" si="26">+P52-T52</f>
        <v>-500</v>
      </c>
      <c r="Y52" s="1"/>
      <c r="Z52" s="5">
        <f t="shared" ref="Z52:Z62" si="27">IF(T52=0,0,X52/T52)</f>
        <v>-1</v>
      </c>
    </row>
    <row r="53" spans="1:26" s="24" customFormat="1" hidden="1" outlineLevel="2" x14ac:dyDescent="0.25">
      <c r="A53" s="26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20"/>
        <v>0</v>
      </c>
      <c r="G53" s="2"/>
      <c r="H53" s="7">
        <v>50</v>
      </c>
      <c r="I53" s="2"/>
      <c r="J53" s="6">
        <f t="shared" si="21"/>
        <v>1.176470588235294E-3</v>
      </c>
      <c r="K53" s="2"/>
      <c r="L53" s="7">
        <f t="shared" si="22"/>
        <v>-50</v>
      </c>
      <c r="M53" s="2"/>
      <c r="N53" s="6">
        <f t="shared" si="23"/>
        <v>-1</v>
      </c>
      <c r="O53" s="11"/>
      <c r="P53" s="7"/>
      <c r="Q53" s="2"/>
      <c r="R53" s="6">
        <f t="shared" si="24"/>
        <v>0</v>
      </c>
      <c r="S53" s="2"/>
      <c r="T53" s="7">
        <v>500</v>
      </c>
      <c r="U53" s="2"/>
      <c r="V53" s="6">
        <f t="shared" si="25"/>
        <v>1.4504819951669939E-3</v>
      </c>
      <c r="W53" s="2"/>
      <c r="X53" s="7">
        <f t="shared" si="26"/>
        <v>-500</v>
      </c>
      <c r="Y53" s="2"/>
      <c r="Z53" s="6">
        <f t="shared" si="27"/>
        <v>-1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SUM(OSRRefD22_3x_0)</f>
        <v>169.88</v>
      </c>
      <c r="E54" s="1"/>
      <c r="F54" s="5">
        <f t="shared" si="20"/>
        <v>4.5883131439992439E-2</v>
      </c>
      <c r="G54" s="1"/>
      <c r="H54" s="1">
        <f>SUM(OSRRefH22_3x_0)</f>
        <v>170</v>
      </c>
      <c r="I54" s="1"/>
      <c r="J54" s="5">
        <f t="shared" si="21"/>
        <v>4.0000000000000001E-3</v>
      </c>
      <c r="K54" s="1"/>
      <c r="L54" s="1">
        <f t="shared" si="22"/>
        <v>-0.12000000000000455</v>
      </c>
      <c r="M54" s="1"/>
      <c r="N54" s="5">
        <f t="shared" si="23"/>
        <v>-7.0588235294120319E-4</v>
      </c>
      <c r="O54" s="13"/>
      <c r="P54" s="1">
        <f>SUM(OSRRefP22_3x_0)</f>
        <v>1698.8</v>
      </c>
      <c r="Q54" s="1"/>
      <c r="R54" s="5">
        <f t="shared" si="24"/>
        <v>1.4811136216767797E-2</v>
      </c>
      <c r="S54" s="1"/>
      <c r="T54" s="1">
        <f>SUM(OSRRefT22_3x_0)</f>
        <v>1700</v>
      </c>
      <c r="U54" s="1"/>
      <c r="V54" s="5">
        <f t="shared" si="25"/>
        <v>4.9316387835677796E-3</v>
      </c>
      <c r="W54" s="1"/>
      <c r="X54" s="1">
        <f t="shared" si="26"/>
        <v>-1.2000000000000455</v>
      </c>
      <c r="Y54" s="1"/>
      <c r="Z54" s="5">
        <f t="shared" si="27"/>
        <v>-7.0588235294120319E-4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169.88</v>
      </c>
      <c r="E55" s="2"/>
      <c r="F55" s="6">
        <f t="shared" si="20"/>
        <v>4.5883131439992439E-2</v>
      </c>
      <c r="G55" s="2"/>
      <c r="H55" s="7">
        <v>170</v>
      </c>
      <c r="I55" s="2"/>
      <c r="J55" s="6">
        <f t="shared" si="21"/>
        <v>4.0000000000000001E-3</v>
      </c>
      <c r="K55" s="2"/>
      <c r="L55" s="7">
        <f t="shared" si="22"/>
        <v>-0.12000000000000455</v>
      </c>
      <c r="M55" s="2"/>
      <c r="N55" s="6">
        <f t="shared" si="23"/>
        <v>-7.0588235294120319E-4</v>
      </c>
      <c r="O55" s="11"/>
      <c r="P55" s="7">
        <v>1698.8</v>
      </c>
      <c r="Q55" s="2"/>
      <c r="R55" s="6">
        <f t="shared" si="24"/>
        <v>1.4811136216767797E-2</v>
      </c>
      <c r="S55" s="2"/>
      <c r="T55" s="7">
        <v>1700</v>
      </c>
      <c r="U55" s="2"/>
      <c r="V55" s="6">
        <f t="shared" si="25"/>
        <v>4.9316387835677796E-3</v>
      </c>
      <c r="W55" s="2"/>
      <c r="X55" s="7">
        <f t="shared" si="26"/>
        <v>-1.2000000000000455</v>
      </c>
      <c r="Y55" s="2"/>
      <c r="Z55" s="6">
        <f t="shared" si="27"/>
        <v>-7.0588235294120319E-4</v>
      </c>
    </row>
    <row r="56" spans="1:26" s="25" customFormat="1" outlineLevel="1" collapsed="1" x14ac:dyDescent="0.25">
      <c r="A56" s="27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SUM(OSRRefD22_4x_0)</f>
        <v>0</v>
      </c>
      <c r="E56" s="1"/>
      <c r="F56" s="5">
        <f t="shared" si="20"/>
        <v>0</v>
      </c>
      <c r="G56" s="1"/>
      <c r="H56" s="1">
        <f>SUM(OSRRefH22_4x_0)</f>
        <v>50</v>
      </c>
      <c r="I56" s="1"/>
      <c r="J56" s="5">
        <f t="shared" si="21"/>
        <v>1.176470588235294E-3</v>
      </c>
      <c r="K56" s="1"/>
      <c r="L56" s="1">
        <f t="shared" si="22"/>
        <v>-50</v>
      </c>
      <c r="M56" s="1"/>
      <c r="N56" s="5">
        <f t="shared" si="23"/>
        <v>-1</v>
      </c>
      <c r="O56" s="13"/>
      <c r="P56" s="1">
        <f>SUM(OSRRefP22_4x_0)</f>
        <v>0</v>
      </c>
      <c r="Q56" s="1"/>
      <c r="R56" s="5">
        <f t="shared" si="24"/>
        <v>0</v>
      </c>
      <c r="S56" s="1"/>
      <c r="T56" s="1">
        <f>SUM(OSRRefT22_4x_0)</f>
        <v>500</v>
      </c>
      <c r="U56" s="1"/>
      <c r="V56" s="5">
        <f t="shared" si="25"/>
        <v>1.4504819951669939E-3</v>
      </c>
      <c r="W56" s="1"/>
      <c r="X56" s="1">
        <f t="shared" si="26"/>
        <v>-500</v>
      </c>
      <c r="Y56" s="1"/>
      <c r="Z56" s="5">
        <f t="shared" si="27"/>
        <v>-1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7"/>
      <c r="E57" s="2"/>
      <c r="F57" s="6">
        <f t="shared" si="20"/>
        <v>0</v>
      </c>
      <c r="G57" s="2"/>
      <c r="H57" s="7">
        <v>50</v>
      </c>
      <c r="I57" s="2"/>
      <c r="J57" s="6">
        <f t="shared" si="21"/>
        <v>1.176470588235294E-3</v>
      </c>
      <c r="K57" s="2"/>
      <c r="L57" s="7">
        <f t="shared" si="22"/>
        <v>-50</v>
      </c>
      <c r="M57" s="2"/>
      <c r="N57" s="6">
        <f t="shared" si="23"/>
        <v>-1</v>
      </c>
      <c r="O57" s="11"/>
      <c r="P57" s="7">
        <v>0</v>
      </c>
      <c r="Q57" s="2"/>
      <c r="R57" s="6">
        <f t="shared" si="24"/>
        <v>0</v>
      </c>
      <c r="S57" s="2"/>
      <c r="T57" s="7">
        <v>500</v>
      </c>
      <c r="U57" s="2"/>
      <c r="V57" s="6">
        <f t="shared" si="25"/>
        <v>1.4504819951669939E-3</v>
      </c>
      <c r="W57" s="2"/>
      <c r="X57" s="7">
        <f t="shared" si="26"/>
        <v>-500</v>
      </c>
      <c r="Y57" s="2"/>
      <c r="Z57" s="6">
        <f t="shared" si="27"/>
        <v>-1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SUM(OSRRefD22_5x_0)</f>
        <v>1205.6400000000001</v>
      </c>
      <c r="E58" s="1"/>
      <c r="F58" s="5">
        <f t="shared" si="20"/>
        <v>0.3256330267795649</v>
      </c>
      <c r="G58" s="1"/>
      <c r="H58" s="1">
        <f>SUM(OSRRefH22_5x_0)</f>
        <v>1206</v>
      </c>
      <c r="I58" s="1"/>
      <c r="J58" s="5">
        <f t="shared" si="21"/>
        <v>2.8376470588235295E-2</v>
      </c>
      <c r="K58" s="1"/>
      <c r="L58" s="1">
        <f t="shared" si="22"/>
        <v>-0.35999999999989996</v>
      </c>
      <c r="M58" s="1"/>
      <c r="N58" s="5">
        <f t="shared" si="23"/>
        <v>-2.9850746268648423E-4</v>
      </c>
      <c r="O58" s="13"/>
      <c r="P58" s="1">
        <f>SUM(OSRRefP22_5x_0)</f>
        <v>12056.4</v>
      </c>
      <c r="Q58" s="1"/>
      <c r="R58" s="5">
        <f t="shared" si="24"/>
        <v>0.10511477671523385</v>
      </c>
      <c r="S58" s="1"/>
      <c r="T58" s="1">
        <f>SUM(OSRRefT22_5x_0)</f>
        <v>12060</v>
      </c>
      <c r="U58" s="1"/>
      <c r="V58" s="5">
        <f t="shared" si="25"/>
        <v>3.4985625723427893E-2</v>
      </c>
      <c r="W58" s="1"/>
      <c r="X58" s="1">
        <f t="shared" si="26"/>
        <v>-3.6000000000003638</v>
      </c>
      <c r="Y58" s="1"/>
      <c r="Z58" s="5">
        <f t="shared" si="27"/>
        <v>-2.9850746268659731E-4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1205.6400000000001</v>
      </c>
      <c r="E59" s="2"/>
      <c r="F59" s="6">
        <f t="shared" si="20"/>
        <v>0.3256330267795649</v>
      </c>
      <c r="G59" s="2"/>
      <c r="H59" s="7">
        <v>1206</v>
      </c>
      <c r="I59" s="2"/>
      <c r="J59" s="6">
        <f t="shared" si="21"/>
        <v>2.8376470588235295E-2</v>
      </c>
      <c r="K59" s="2"/>
      <c r="L59" s="7">
        <f t="shared" si="22"/>
        <v>-0.35999999999989996</v>
      </c>
      <c r="M59" s="2"/>
      <c r="N59" s="6">
        <f t="shared" si="23"/>
        <v>-2.9850746268648423E-4</v>
      </c>
      <c r="O59" s="11"/>
      <c r="P59" s="7">
        <v>12056.4</v>
      </c>
      <c r="Q59" s="2"/>
      <c r="R59" s="6">
        <f t="shared" si="24"/>
        <v>0.10511477671523385</v>
      </c>
      <c r="S59" s="2"/>
      <c r="T59" s="7">
        <v>12060</v>
      </c>
      <c r="U59" s="2"/>
      <c r="V59" s="6">
        <f t="shared" si="25"/>
        <v>3.4985625723427893E-2</v>
      </c>
      <c r="W59" s="2"/>
      <c r="X59" s="7">
        <f t="shared" si="26"/>
        <v>-3.6000000000003638</v>
      </c>
      <c r="Y59" s="2"/>
      <c r="Z59" s="6">
        <f t="shared" si="27"/>
        <v>-2.9850746268659731E-4</v>
      </c>
    </row>
    <row r="60" spans="1:26" s="25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SUM(OSRRefD22_6x_0)</f>
        <v>-18667.690000000002</v>
      </c>
      <c r="E60" s="1"/>
      <c r="F60" s="5">
        <f t="shared" si="20"/>
        <v>-5.0419830112493091</v>
      </c>
      <c r="G60" s="1"/>
      <c r="H60" s="1">
        <f>SUM(OSRRefH22_6x_0)</f>
        <v>408</v>
      </c>
      <c r="I60" s="1"/>
      <c r="J60" s="5">
        <f t="shared" si="21"/>
        <v>9.5999999999999992E-3</v>
      </c>
      <c r="K60" s="1"/>
      <c r="L60" s="1">
        <f t="shared" si="22"/>
        <v>-19075.690000000002</v>
      </c>
      <c r="M60" s="1"/>
      <c r="N60" s="5">
        <f t="shared" si="23"/>
        <v>-46.754142156862748</v>
      </c>
      <c r="O60" s="13"/>
      <c r="P60" s="1">
        <f>SUM(OSRRefP22_6x_0)</f>
        <v>-72673.700000000012</v>
      </c>
      <c r="Q60" s="1"/>
      <c r="R60" s="5">
        <f t="shared" si="24"/>
        <v>-0.63361200263510598</v>
      </c>
      <c r="S60" s="1"/>
      <c r="T60" s="1">
        <f>SUM(OSRRefT22_6x_0)</f>
        <v>10918</v>
      </c>
      <c r="U60" s="1"/>
      <c r="V60" s="5">
        <f t="shared" si="25"/>
        <v>3.167272484646648E-2</v>
      </c>
      <c r="W60" s="1"/>
      <c r="X60" s="1">
        <f t="shared" si="26"/>
        <v>-83591.700000000012</v>
      </c>
      <c r="Y60" s="1"/>
      <c r="Z60" s="5">
        <f t="shared" si="27"/>
        <v>-7.656319838798316</v>
      </c>
    </row>
    <row r="61" spans="1:26" s="24" customFormat="1" hidden="1" outlineLevel="2" x14ac:dyDescent="0.25">
      <c r="A61" s="26"/>
      <c r="B61" s="11" t="str">
        <f>CONCATENATE("          ", "6305", " - ", "FREIGHT OUT")</f>
        <v xml:space="preserve">          6305 - FREIGHT OUT</v>
      </c>
      <c r="C61" s="11"/>
      <c r="D61" s="7">
        <v>16530.71</v>
      </c>
      <c r="E61" s="2"/>
      <c r="F61" s="6">
        <f t="shared" si="20"/>
        <v>4.4648030358276278</v>
      </c>
      <c r="G61" s="2"/>
      <c r="H61" s="7">
        <v>2500</v>
      </c>
      <c r="I61" s="2"/>
      <c r="J61" s="6">
        <f t="shared" si="21"/>
        <v>5.8823529411764705E-2</v>
      </c>
      <c r="K61" s="2"/>
      <c r="L61" s="7">
        <f t="shared" si="22"/>
        <v>14030.71</v>
      </c>
      <c r="M61" s="2"/>
      <c r="N61" s="6">
        <f t="shared" si="23"/>
        <v>5.6122839999999998</v>
      </c>
      <c r="O61" s="11"/>
      <c r="P61" s="7">
        <v>178009.9</v>
      </c>
      <c r="Q61" s="2"/>
      <c r="R61" s="6">
        <f t="shared" si="24"/>
        <v>1.5519948651007851</v>
      </c>
      <c r="S61" s="2"/>
      <c r="T61" s="7">
        <v>35460</v>
      </c>
      <c r="U61" s="2"/>
      <c r="V61" s="6">
        <f t="shared" si="25"/>
        <v>0.10286818309724322</v>
      </c>
      <c r="W61" s="2"/>
      <c r="X61" s="7">
        <f t="shared" si="26"/>
        <v>142549.9</v>
      </c>
      <c r="Y61" s="2"/>
      <c r="Z61" s="6">
        <f t="shared" si="27"/>
        <v>4.0200197405527351</v>
      </c>
    </row>
    <row r="62" spans="1:26" s="24" customFormat="1" hidden="1" outlineLevel="2" x14ac:dyDescent="0.25">
      <c r="A62" s="26"/>
      <c r="B62" s="11" t="str">
        <f>CONCATENATE("          ", "6307", " - ", "POSTAGE")</f>
        <v xml:space="preserve">          6307 - POSTAGE</v>
      </c>
      <c r="C62" s="11"/>
      <c r="D62" s="7">
        <v>-35198.400000000001</v>
      </c>
      <c r="E62" s="2"/>
      <c r="F62" s="6">
        <f t="shared" si="20"/>
        <v>-9.5067860470769361</v>
      </c>
      <c r="G62" s="2"/>
      <c r="H62" s="7">
        <v>-2092</v>
      </c>
      <c r="I62" s="2"/>
      <c r="J62" s="6">
        <f t="shared" si="21"/>
        <v>-4.9223529411764708E-2</v>
      </c>
      <c r="K62" s="2"/>
      <c r="L62" s="7">
        <f t="shared" si="22"/>
        <v>-33106.400000000001</v>
      </c>
      <c r="M62" s="2"/>
      <c r="N62" s="6">
        <f t="shared" si="23"/>
        <v>15.825239005736139</v>
      </c>
      <c r="O62" s="11"/>
      <c r="P62" s="7">
        <v>-250683.6</v>
      </c>
      <c r="Q62" s="2"/>
      <c r="R62" s="6">
        <f t="shared" si="24"/>
        <v>-2.1856068677358911</v>
      </c>
      <c r="S62" s="2"/>
      <c r="T62" s="7">
        <v>-24542</v>
      </c>
      <c r="U62" s="2"/>
      <c r="V62" s="6">
        <f t="shared" si="25"/>
        <v>-7.1195458250776736E-2</v>
      </c>
      <c r="W62" s="2"/>
      <c r="X62" s="7">
        <f t="shared" si="26"/>
        <v>-226141.6</v>
      </c>
      <c r="Y62" s="2"/>
      <c r="Z62" s="6">
        <f t="shared" si="27"/>
        <v>9.2144731480726918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SUM(OSRRefD22_7x_0)</f>
        <v>102.36</v>
      </c>
      <c r="E63" s="1"/>
      <c r="F63" s="5">
        <f t="shared" ref="F63:F66" si="28">IF(D$12=0,0,D63/D$12)</f>
        <v>2.7646558360004864E-2</v>
      </c>
      <c r="G63" s="1"/>
      <c r="H63" s="1">
        <f>SUM(OSRRefH22_7x_0)</f>
        <v>4700</v>
      </c>
      <c r="I63" s="1"/>
      <c r="J63" s="5">
        <f t="shared" ref="J63:J66" si="29">IF(H$12=0,0,H63/H$12)</f>
        <v>0.11058823529411765</v>
      </c>
      <c r="K63" s="1"/>
      <c r="L63" s="1">
        <f t="shared" ref="L63:L66" si="30">+D63-H63</f>
        <v>-4597.6400000000003</v>
      </c>
      <c r="M63" s="1"/>
      <c r="N63" s="5">
        <f t="shared" ref="N63:N66" si="31">IF(H63=0,0,L63/H63)</f>
        <v>-0.97822127659574476</v>
      </c>
      <c r="O63" s="13"/>
      <c r="P63" s="1">
        <f>SUM(OSRRefP22_7x_0)</f>
        <v>31093.699999999997</v>
      </c>
      <c r="Q63" s="1"/>
      <c r="R63" s="5">
        <f t="shared" ref="R63:R66" si="32">IF(P$12=0,0,P63/P$12)</f>
        <v>0.27109313997134027</v>
      </c>
      <c r="S63" s="1"/>
      <c r="T63" s="1">
        <f>SUM(OSRRefT22_7x_0)</f>
        <v>55100</v>
      </c>
      <c r="U63" s="1"/>
      <c r="V63" s="5">
        <f t="shared" ref="V63:V66" si="33">IF(T$12=0,0,T63/T$12)</f>
        <v>0.15984311586740274</v>
      </c>
      <c r="W63" s="1"/>
      <c r="X63" s="1">
        <f t="shared" ref="X63:X66" si="34">+P63-T63</f>
        <v>-24006.300000000003</v>
      </c>
      <c r="Y63" s="1"/>
      <c r="Z63" s="5">
        <f t="shared" ref="Z63:Z66" si="35">IF(T63=0,0,X63/T63)</f>
        <v>-0.4356860254083485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28"/>
        <v>0</v>
      </c>
      <c r="G64" s="2"/>
      <c r="H64" s="7"/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7.69</v>
      </c>
      <c r="Q64" s="2"/>
      <c r="R64" s="6">
        <f t="shared" si="32"/>
        <v>6.7045936841855644E-5</v>
      </c>
      <c r="S64" s="2"/>
      <c r="T64" s="7"/>
      <c r="U64" s="2"/>
      <c r="V64" s="6">
        <f t="shared" si="33"/>
        <v>0</v>
      </c>
      <c r="W64" s="2"/>
      <c r="X64" s="7">
        <f t="shared" si="34"/>
        <v>7.69</v>
      </c>
      <c r="Y64" s="2"/>
      <c r="Z64" s="6">
        <f t="shared" si="35"/>
        <v>0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7">
        <v>97.76</v>
      </c>
      <c r="E65" s="2"/>
      <c r="F65" s="6">
        <f t="shared" si="28"/>
        <v>2.640413780064552E-2</v>
      </c>
      <c r="G65" s="2"/>
      <c r="H65" s="7">
        <v>4700</v>
      </c>
      <c r="I65" s="2"/>
      <c r="J65" s="6">
        <f t="shared" si="29"/>
        <v>0.11058823529411765</v>
      </c>
      <c r="K65" s="2"/>
      <c r="L65" s="7">
        <f t="shared" si="30"/>
        <v>-4602.24</v>
      </c>
      <c r="M65" s="2"/>
      <c r="N65" s="6">
        <f t="shared" si="31"/>
        <v>-0.97919999999999996</v>
      </c>
      <c r="O65" s="11"/>
      <c r="P65" s="7">
        <v>31081.41</v>
      </c>
      <c r="Q65" s="2"/>
      <c r="R65" s="6">
        <f t="shared" si="32"/>
        <v>0.27098598853261641</v>
      </c>
      <c r="S65" s="2"/>
      <c r="T65" s="7">
        <v>55100</v>
      </c>
      <c r="U65" s="2"/>
      <c r="V65" s="6">
        <f t="shared" si="33"/>
        <v>0.15984311586740274</v>
      </c>
      <c r="W65" s="2"/>
      <c r="X65" s="7">
        <f t="shared" si="34"/>
        <v>-24018.59</v>
      </c>
      <c r="Y65" s="2"/>
      <c r="Z65" s="6">
        <f t="shared" si="35"/>
        <v>-0.43590907441016336</v>
      </c>
    </row>
    <row r="66" spans="1:26" s="24" customFormat="1" hidden="1" outlineLevel="2" x14ac:dyDescent="0.25">
      <c r="A66" s="26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4.5999999999999996</v>
      </c>
      <c r="E66" s="2"/>
      <c r="F66" s="6">
        <f t="shared" si="28"/>
        <v>1.2424205593593431E-3</v>
      </c>
      <c r="G66" s="2"/>
      <c r="H66" s="7"/>
      <c r="I66" s="2"/>
      <c r="J66" s="6">
        <f t="shared" si="29"/>
        <v>0</v>
      </c>
      <c r="K66" s="2"/>
      <c r="L66" s="7">
        <f t="shared" si="30"/>
        <v>4.5999999999999996</v>
      </c>
      <c r="M66" s="2"/>
      <c r="N66" s="6">
        <f t="shared" si="31"/>
        <v>0</v>
      </c>
      <c r="O66" s="11"/>
      <c r="P66" s="7">
        <v>4.5999999999999996</v>
      </c>
      <c r="Q66" s="2"/>
      <c r="R66" s="6">
        <f t="shared" si="32"/>
        <v>4.0105501881994266E-5</v>
      </c>
      <c r="S66" s="2"/>
      <c r="T66" s="7"/>
      <c r="U66" s="2"/>
      <c r="V66" s="6">
        <f t="shared" si="33"/>
        <v>0</v>
      </c>
      <c r="W66" s="2"/>
      <c r="X66" s="7">
        <f t="shared" si="34"/>
        <v>4.5999999999999996</v>
      </c>
      <c r="Y66" s="2"/>
      <c r="Z66" s="6">
        <f t="shared" si="35"/>
        <v>0</v>
      </c>
    </row>
    <row r="67" spans="1:26" s="25" customFormat="1" outlineLevel="1" collapsed="1" x14ac:dyDescent="0.25">
      <c r="A67" s="27"/>
      <c r="B67" s="13" t="str">
        <f>CONCATENATE("     ","Royalty &amp; Commissions                             ")</f>
        <v xml:space="preserve">     Royalty &amp; Commissions                             </v>
      </c>
      <c r="C67" s="13"/>
      <c r="D67" s="1">
        <f>SUM(OSRRefD22_8x_0)</f>
        <v>2570.27</v>
      </c>
      <c r="E67" s="1"/>
      <c r="F67" s="5">
        <f t="shared" ref="F67:F74" si="36">IF(D$12=0,0,D67/D$12)</f>
        <v>0.694207889370552</v>
      </c>
      <c r="G67" s="1"/>
      <c r="H67" s="1">
        <f>SUM(OSRRefH22_8x_0)</f>
        <v>8700</v>
      </c>
      <c r="I67" s="1"/>
      <c r="J67" s="5">
        <f t="shared" ref="J67:J74" si="37">IF(H$12=0,0,H67/H$12)</f>
        <v>0.20470588235294118</v>
      </c>
      <c r="K67" s="1"/>
      <c r="L67" s="1">
        <f t="shared" ref="L67:L74" si="38">+D67-H67</f>
        <v>-6129.73</v>
      </c>
      <c r="M67" s="1"/>
      <c r="N67" s="5">
        <f t="shared" ref="N67:N74" si="39">IF(H67=0,0,L67/H67)</f>
        <v>-0.70456666666666656</v>
      </c>
      <c r="O67" s="13"/>
      <c r="P67" s="1">
        <f>SUM(OSRRefP22_8x_0)</f>
        <v>13233.89</v>
      </c>
      <c r="Q67" s="1"/>
      <c r="R67" s="5">
        <f t="shared" ref="R67:R74" si="40">IF(P$12=0,0,P67/P$12)</f>
        <v>0.11538082615241416</v>
      </c>
      <c r="S67" s="1"/>
      <c r="T67" s="1">
        <f>SUM(OSRRefT22_8x_0)</f>
        <v>32250</v>
      </c>
      <c r="U67" s="1"/>
      <c r="V67" s="5">
        <f t="shared" ref="V67:V74" si="41">IF(T$12=0,0,T67/T$12)</f>
        <v>9.3556088688271116E-2</v>
      </c>
      <c r="W67" s="1"/>
      <c r="X67" s="1">
        <f t="shared" ref="X67:X74" si="42">+P67-T67</f>
        <v>-19016.11</v>
      </c>
      <c r="Y67" s="1"/>
      <c r="Z67" s="5">
        <f t="shared" ref="Z67:Z74" si="43">IF(T67=0,0,X67/T67)</f>
        <v>-0.58964682170542637</v>
      </c>
    </row>
    <row r="68" spans="1:26" s="24" customFormat="1" hidden="1" outlineLevel="2" x14ac:dyDescent="0.25">
      <c r="A68" s="26"/>
      <c r="B68" s="11" t="str">
        <f>CONCATENATE("          ", "6259", " - ", "ROYALTY &amp; COMMISSIONS")</f>
        <v xml:space="preserve">          6259 - ROYALTY &amp; COMMISSIONS</v>
      </c>
      <c r="C68" s="11"/>
      <c r="D68" s="7">
        <v>2570.27</v>
      </c>
      <c r="E68" s="2"/>
      <c r="F68" s="6">
        <f t="shared" si="36"/>
        <v>0.694207889370552</v>
      </c>
      <c r="G68" s="2"/>
      <c r="H68" s="7">
        <v>8700</v>
      </c>
      <c r="I68" s="2"/>
      <c r="J68" s="6">
        <f t="shared" si="37"/>
        <v>0.20470588235294118</v>
      </c>
      <c r="K68" s="2"/>
      <c r="L68" s="7">
        <f t="shared" si="38"/>
        <v>-6129.73</v>
      </c>
      <c r="M68" s="2"/>
      <c r="N68" s="6">
        <f t="shared" si="39"/>
        <v>-0.70456666666666656</v>
      </c>
      <c r="O68" s="11"/>
      <c r="P68" s="7">
        <v>13233.89</v>
      </c>
      <c r="Q68" s="2"/>
      <c r="R68" s="6">
        <f t="shared" si="40"/>
        <v>0.11538082615241416</v>
      </c>
      <c r="S68" s="2"/>
      <c r="T68" s="7">
        <v>32250</v>
      </c>
      <c r="U68" s="2"/>
      <c r="V68" s="6">
        <f t="shared" si="41"/>
        <v>9.3556088688271116E-2</v>
      </c>
      <c r="W68" s="2"/>
      <c r="X68" s="7">
        <f t="shared" si="42"/>
        <v>-19016.11</v>
      </c>
      <c r="Y68" s="2"/>
      <c r="Z68" s="6">
        <f t="shared" si="43"/>
        <v>-0.58964682170542637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SUM(OSRRefD22_9x_0)</f>
        <v>3285.03</v>
      </c>
      <c r="E69" s="1"/>
      <c r="F69" s="5">
        <f t="shared" si="36"/>
        <v>0.88725843698091811</v>
      </c>
      <c r="G69" s="1"/>
      <c r="H69" s="1">
        <f>SUM(OSRRefH22_9x_0)</f>
        <v>4900</v>
      </c>
      <c r="I69" s="1"/>
      <c r="J69" s="5">
        <f t="shared" si="37"/>
        <v>0.11529411764705882</v>
      </c>
      <c r="K69" s="1"/>
      <c r="L69" s="1">
        <f t="shared" si="38"/>
        <v>-1614.9699999999998</v>
      </c>
      <c r="M69" s="1"/>
      <c r="N69" s="5">
        <f t="shared" si="39"/>
        <v>-0.32958571428571426</v>
      </c>
      <c r="O69" s="13"/>
      <c r="P69" s="1">
        <f>SUM(OSRRefP22_9x_0)</f>
        <v>35798.199999999997</v>
      </c>
      <c r="Q69" s="1"/>
      <c r="R69" s="5">
        <f t="shared" si="40"/>
        <v>0.31210973423304506</v>
      </c>
      <c r="S69" s="1"/>
      <c r="T69" s="1">
        <f>SUM(OSRRefT22_9x_0)</f>
        <v>24450</v>
      </c>
      <c r="U69" s="1"/>
      <c r="V69" s="5">
        <f t="shared" si="41"/>
        <v>7.0928569563666E-2</v>
      </c>
      <c r="W69" s="1"/>
      <c r="X69" s="1">
        <f t="shared" si="42"/>
        <v>11348.199999999997</v>
      </c>
      <c r="Y69" s="1"/>
      <c r="Z69" s="5">
        <f t="shared" si="43"/>
        <v>0.46413905930470334</v>
      </c>
    </row>
    <row r="70" spans="1:26" s="24" customFormat="1" hidden="1" outlineLevel="2" x14ac:dyDescent="0.25">
      <c r="A70" s="26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310.91000000000003</v>
      </c>
      <c r="Q70" s="2"/>
      <c r="R70" s="6">
        <f t="shared" si="40"/>
        <v>2.7106959978545303E-3</v>
      </c>
      <c r="S70" s="2"/>
      <c r="T70" s="7"/>
      <c r="U70" s="2"/>
      <c r="V70" s="6">
        <f t="shared" si="41"/>
        <v>0</v>
      </c>
      <c r="W70" s="2"/>
      <c r="X70" s="7">
        <f t="shared" si="42"/>
        <v>310.91000000000003</v>
      </c>
      <c r="Y70" s="2"/>
      <c r="Z70" s="6">
        <f t="shared" si="43"/>
        <v>0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>
        <v>6.55</v>
      </c>
      <c r="E71" s="2"/>
      <c r="F71" s="6">
        <f t="shared" si="36"/>
        <v>1.7690988399573257E-3</v>
      </c>
      <c r="G71" s="2"/>
      <c r="H71" s="7"/>
      <c r="I71" s="2"/>
      <c r="J71" s="6">
        <f t="shared" si="37"/>
        <v>0</v>
      </c>
      <c r="K71" s="2"/>
      <c r="L71" s="7">
        <f t="shared" si="38"/>
        <v>6.55</v>
      </c>
      <c r="M71" s="2"/>
      <c r="N71" s="6">
        <f t="shared" si="39"/>
        <v>0</v>
      </c>
      <c r="O71" s="11"/>
      <c r="P71" s="7">
        <v>4657.76</v>
      </c>
      <c r="Q71" s="2"/>
      <c r="R71" s="6">
        <f t="shared" si="40"/>
        <v>4.0609087488234268E-2</v>
      </c>
      <c r="S71" s="2"/>
      <c r="T71" s="7"/>
      <c r="U71" s="2"/>
      <c r="V71" s="6">
        <f t="shared" si="41"/>
        <v>0</v>
      </c>
      <c r="W71" s="2"/>
      <c r="X71" s="7">
        <f t="shared" si="42"/>
        <v>4657.76</v>
      </c>
      <c r="Y71" s="2"/>
      <c r="Z71" s="6">
        <f t="shared" si="43"/>
        <v>0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>
        <v>199.93</v>
      </c>
      <c r="E72" s="2"/>
      <c r="F72" s="6">
        <f t="shared" si="36"/>
        <v>5.3999378789720325E-2</v>
      </c>
      <c r="G72" s="2"/>
      <c r="H72" s="7">
        <v>4600</v>
      </c>
      <c r="I72" s="2"/>
      <c r="J72" s="6">
        <f t="shared" si="37"/>
        <v>0.10823529411764705</v>
      </c>
      <c r="K72" s="2"/>
      <c r="L72" s="7">
        <f t="shared" si="38"/>
        <v>-4400.07</v>
      </c>
      <c r="M72" s="2"/>
      <c r="N72" s="6">
        <f t="shared" si="39"/>
        <v>-0.95653695652173909</v>
      </c>
      <c r="O72" s="11"/>
      <c r="P72" s="7">
        <v>6682.58</v>
      </c>
      <c r="Q72" s="2"/>
      <c r="R72" s="6">
        <f t="shared" si="40"/>
        <v>5.8262657557951583E-2</v>
      </c>
      <c r="S72" s="2"/>
      <c r="T72" s="7">
        <v>21400</v>
      </c>
      <c r="U72" s="2"/>
      <c r="V72" s="6">
        <f t="shared" si="41"/>
        <v>6.2080629393147346E-2</v>
      </c>
      <c r="W72" s="2"/>
      <c r="X72" s="7">
        <f t="shared" si="42"/>
        <v>-14717.42</v>
      </c>
      <c r="Y72" s="2"/>
      <c r="Z72" s="6">
        <f t="shared" si="43"/>
        <v>-0.68772990654205612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7">
        <v>1766.38</v>
      </c>
      <c r="E73" s="2"/>
      <c r="F73" s="6">
        <f t="shared" si="36"/>
        <v>0.47708409296546889</v>
      </c>
      <c r="G73" s="2"/>
      <c r="H73" s="7">
        <v>200</v>
      </c>
      <c r="I73" s="2"/>
      <c r="J73" s="6">
        <f t="shared" si="37"/>
        <v>4.7058823529411761E-3</v>
      </c>
      <c r="K73" s="2"/>
      <c r="L73" s="7">
        <f t="shared" si="38"/>
        <v>1566.38</v>
      </c>
      <c r="M73" s="2"/>
      <c r="N73" s="6">
        <f t="shared" si="39"/>
        <v>7.831900000000001</v>
      </c>
      <c r="O73" s="11"/>
      <c r="P73" s="7">
        <v>3051.93</v>
      </c>
      <c r="Q73" s="2"/>
      <c r="R73" s="6">
        <f t="shared" si="40"/>
        <v>2.6608518338851035E-2</v>
      </c>
      <c r="S73" s="2"/>
      <c r="T73" s="7">
        <v>2100</v>
      </c>
      <c r="U73" s="2"/>
      <c r="V73" s="6">
        <f t="shared" si="41"/>
        <v>6.0920243797013751E-3</v>
      </c>
      <c r="W73" s="2"/>
      <c r="X73" s="7">
        <f t="shared" si="42"/>
        <v>951.92999999999984</v>
      </c>
      <c r="Y73" s="2"/>
      <c r="Z73" s="6">
        <f t="shared" si="43"/>
        <v>0.45329999999999993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>
        <v>1312.17</v>
      </c>
      <c r="E74" s="2"/>
      <c r="F74" s="6">
        <f t="shared" si="36"/>
        <v>0.3544058663857716</v>
      </c>
      <c r="G74" s="2"/>
      <c r="H74" s="7">
        <v>100</v>
      </c>
      <c r="I74" s="2"/>
      <c r="J74" s="6">
        <f t="shared" si="37"/>
        <v>2.352941176470588E-3</v>
      </c>
      <c r="K74" s="2"/>
      <c r="L74" s="7">
        <f t="shared" si="38"/>
        <v>1212.17</v>
      </c>
      <c r="M74" s="2"/>
      <c r="N74" s="6">
        <f t="shared" si="39"/>
        <v>12.121700000000001</v>
      </c>
      <c r="O74" s="11"/>
      <c r="P74" s="7">
        <v>21095.02</v>
      </c>
      <c r="Q74" s="2"/>
      <c r="R74" s="6">
        <f t="shared" si="40"/>
        <v>0.18391877485015365</v>
      </c>
      <c r="S74" s="2"/>
      <c r="T74" s="7">
        <v>950</v>
      </c>
      <c r="U74" s="2"/>
      <c r="V74" s="6">
        <f t="shared" si="41"/>
        <v>2.7559157908172887E-3</v>
      </c>
      <c r="W74" s="2"/>
      <c r="X74" s="7">
        <f t="shared" si="42"/>
        <v>20145.02</v>
      </c>
      <c r="Y74" s="2"/>
      <c r="Z74" s="6">
        <f t="shared" si="43"/>
        <v>21.205284210526315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SUM(OSRRefD22_10x_0)</f>
        <v>82.1</v>
      </c>
      <c r="E75" s="1"/>
      <c r="F75" s="5">
        <f t="shared" ref="F75:F78" si="44">IF(D$12=0,0,D75/D$12)</f>
        <v>2.2174506070304797E-2</v>
      </c>
      <c r="G75" s="1"/>
      <c r="H75" s="1">
        <f>SUM(OSRRefH22_10x_0)</f>
        <v>165</v>
      </c>
      <c r="I75" s="1"/>
      <c r="J75" s="5">
        <f t="shared" ref="J75:J78" si="45">IF(H$12=0,0,H75/H$12)</f>
        <v>3.8823529411764705E-3</v>
      </c>
      <c r="K75" s="1"/>
      <c r="L75" s="1">
        <f t="shared" ref="L75:L78" si="46">+D75-H75</f>
        <v>-82.9</v>
      </c>
      <c r="M75" s="1"/>
      <c r="N75" s="5">
        <f t="shared" ref="N75:N78" si="47">IF(H75=0,0,L75/H75)</f>
        <v>-0.50242424242424244</v>
      </c>
      <c r="O75" s="13"/>
      <c r="P75" s="1">
        <f>SUM(OSRRefP22_10x_0)</f>
        <v>1585.5</v>
      </c>
      <c r="Q75" s="1"/>
      <c r="R75" s="5">
        <f t="shared" ref="R75:R78" si="48">IF(P$12=0,0,P75/P$12)</f>
        <v>1.3823320268239547E-2</v>
      </c>
      <c r="S75" s="1"/>
      <c r="T75" s="1">
        <f>SUM(OSRRefT22_10x_0)</f>
        <v>1650</v>
      </c>
      <c r="U75" s="1"/>
      <c r="V75" s="5">
        <f t="shared" ref="V75:V78" si="49">IF(T$12=0,0,T75/T$12)</f>
        <v>4.7865905840510804E-3</v>
      </c>
      <c r="W75" s="1"/>
      <c r="X75" s="1">
        <f t="shared" ref="X75:X78" si="50">+P75-T75</f>
        <v>-64.5</v>
      </c>
      <c r="Y75" s="1"/>
      <c r="Z75" s="5">
        <f t="shared" ref="Z75:Z78" si="51">IF(T75=0,0,X75/T75)</f>
        <v>-3.9090909090909093E-2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82.1</v>
      </c>
      <c r="E76" s="2"/>
      <c r="F76" s="6">
        <f t="shared" si="44"/>
        <v>2.2174506070304797E-2</v>
      </c>
      <c r="G76" s="2"/>
      <c r="H76" s="7">
        <v>165</v>
      </c>
      <c r="I76" s="2"/>
      <c r="J76" s="6">
        <f t="shared" si="45"/>
        <v>3.8823529411764705E-3</v>
      </c>
      <c r="K76" s="2"/>
      <c r="L76" s="7">
        <f t="shared" si="46"/>
        <v>-82.9</v>
      </c>
      <c r="M76" s="2"/>
      <c r="N76" s="6">
        <f t="shared" si="47"/>
        <v>-0.50242424242424244</v>
      </c>
      <c r="O76" s="11"/>
      <c r="P76" s="7">
        <v>1585.5</v>
      </c>
      <c r="Q76" s="2"/>
      <c r="R76" s="6">
        <f t="shared" si="48"/>
        <v>1.3823320268239547E-2</v>
      </c>
      <c r="S76" s="2"/>
      <c r="T76" s="7">
        <v>1650</v>
      </c>
      <c r="U76" s="2"/>
      <c r="V76" s="6">
        <f t="shared" si="49"/>
        <v>4.7865905840510804E-3</v>
      </c>
      <c r="W76" s="2"/>
      <c r="X76" s="7">
        <f t="shared" si="50"/>
        <v>-64.5</v>
      </c>
      <c r="Y76" s="2"/>
      <c r="Z76" s="6">
        <f t="shared" si="51"/>
        <v>-3.9090909090909093E-2</v>
      </c>
    </row>
    <row r="77" spans="1:26" s="25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SUM(OSRRefD22_11x_0)</f>
        <v>0</v>
      </c>
      <c r="E77" s="1"/>
      <c r="F77" s="5">
        <f t="shared" si="44"/>
        <v>0</v>
      </c>
      <c r="G77" s="1"/>
      <c r="H77" s="1">
        <f>SUM(OSRRefH22_11x_0)</f>
        <v>0</v>
      </c>
      <c r="I77" s="1"/>
      <c r="J77" s="5">
        <f t="shared" si="45"/>
        <v>0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SUM(OSRRefP22_11x_0)</f>
        <v>15.02</v>
      </c>
      <c r="Q77" s="1"/>
      <c r="R77" s="5">
        <f t="shared" si="48"/>
        <v>1.3095318223207693E-4</v>
      </c>
      <c r="S77" s="1"/>
      <c r="T77" s="1">
        <f>SUM(OSRRefT22_11x_0)</f>
        <v>0</v>
      </c>
      <c r="U77" s="1"/>
      <c r="V77" s="5">
        <f t="shared" si="49"/>
        <v>0</v>
      </c>
      <c r="W77" s="1"/>
      <c r="X77" s="1">
        <f t="shared" si="50"/>
        <v>15.02</v>
      </c>
      <c r="Y77" s="1"/>
      <c r="Z77" s="5">
        <f t="shared" si="51"/>
        <v>0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7"/>
      <c r="E78" s="2"/>
      <c r="F78" s="6">
        <f t="shared" si="44"/>
        <v>0</v>
      </c>
      <c r="G78" s="2"/>
      <c r="H78" s="7"/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>
        <v>15.02</v>
      </c>
      <c r="Q78" s="2"/>
      <c r="R78" s="6">
        <f t="shared" si="48"/>
        <v>1.3095318223207693E-4</v>
      </c>
      <c r="S78" s="2"/>
      <c r="T78" s="7"/>
      <c r="U78" s="2"/>
      <c r="V78" s="6">
        <f t="shared" si="49"/>
        <v>0</v>
      </c>
      <c r="W78" s="2"/>
      <c r="X78" s="7">
        <f t="shared" si="50"/>
        <v>15.02</v>
      </c>
      <c r="Y78" s="2"/>
      <c r="Z78" s="6">
        <f t="shared" si="51"/>
        <v>0</v>
      </c>
    </row>
    <row r="79" spans="1:26" s="61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9" t="s">
        <v>293</v>
      </c>
      <c r="C80" s="10"/>
      <c r="D80" s="4">
        <f>SUM(OSRRefD25x_0)</f>
        <v>6782</v>
      </c>
      <c r="E80" s="4"/>
      <c r="F80" s="12">
        <f t="shared" ref="F80:F81" si="52">IF(D$12=0,0,D80/D$12)</f>
        <v>1.8317600507771881</v>
      </c>
      <c r="G80" s="4"/>
      <c r="H80" s="4">
        <f>SUM(OSRRefH25x_0)</f>
        <v>6875</v>
      </c>
      <c r="I80" s="4"/>
      <c r="J80" s="12">
        <f t="shared" ref="J80:J81" si="53">IF(H$12=0,0,H80/H$12)</f>
        <v>0.16176470588235295</v>
      </c>
      <c r="K80" s="4"/>
      <c r="L80" s="4">
        <f t="shared" ref="L80:L81" si="54">+D80-H80</f>
        <v>-93</v>
      </c>
      <c r="M80" s="4"/>
      <c r="N80" s="12">
        <f t="shared" ref="N80:N81" si="55">IF(H80=0,0,L80/H80)</f>
        <v>-1.3527272727272728E-2</v>
      </c>
      <c r="O80" s="10"/>
      <c r="P80" s="4">
        <f>SUM(OSRRefP25x_0)</f>
        <v>67820</v>
      </c>
      <c r="Q80" s="4"/>
      <c r="R80" s="12">
        <f t="shared" ref="R80:R81" si="56">IF(P$12=0,0,P80/P$12)</f>
        <v>0.59129459513844596</v>
      </c>
      <c r="S80" s="4"/>
      <c r="T80" s="4">
        <f>SUM(OSRRefT25x_0)</f>
        <v>68750</v>
      </c>
      <c r="U80" s="4"/>
      <c r="V80" s="12">
        <f t="shared" ref="V80:V81" si="57">IF(T$12=0,0,T80/T$12)</f>
        <v>0.19944127433546166</v>
      </c>
      <c r="W80" s="4"/>
      <c r="X80" s="4">
        <f t="shared" ref="X80:X81" si="58">+P80-T80</f>
        <v>-930</v>
      </c>
      <c r="Y80" s="4"/>
      <c r="Z80" s="12">
        <f t="shared" ref="Z80:Z81" si="59">IF(T80=0,0,X80/T80)</f>
        <v>-1.3527272727272728E-2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--6782</f>
        <v>6782</v>
      </c>
      <c r="E81" s="2"/>
      <c r="F81" s="19">
        <f t="shared" si="52"/>
        <v>1.8317600507771881</v>
      </c>
      <c r="G81" s="2"/>
      <c r="H81" s="2">
        <v>6875</v>
      </c>
      <c r="I81" s="2"/>
      <c r="J81" s="19">
        <f t="shared" si="53"/>
        <v>0.16176470588235295</v>
      </c>
      <c r="K81" s="2"/>
      <c r="L81" s="2">
        <f t="shared" si="54"/>
        <v>-93</v>
      </c>
      <c r="M81" s="2"/>
      <c r="N81" s="19">
        <f t="shared" si="55"/>
        <v>-1.3527272727272728E-2</v>
      </c>
      <c r="O81" s="11"/>
      <c r="P81" s="2">
        <f>--67820</f>
        <v>67820</v>
      </c>
      <c r="Q81" s="2"/>
      <c r="R81" s="19">
        <f t="shared" si="56"/>
        <v>0.59129459513844596</v>
      </c>
      <c r="S81" s="2"/>
      <c r="T81" s="2">
        <v>68750</v>
      </c>
      <c r="U81" s="2"/>
      <c r="V81" s="19">
        <f t="shared" si="57"/>
        <v>0.19944127433546166</v>
      </c>
      <c r="W81" s="2"/>
      <c r="X81" s="2">
        <f t="shared" si="58"/>
        <v>-930</v>
      </c>
      <c r="Y81" s="2"/>
      <c r="Z81" s="19">
        <f t="shared" si="59"/>
        <v>-1.3527272727272728E-2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277</v>
      </c>
      <c r="C83" s="28"/>
      <c r="D83" s="21">
        <f>+D28-D30+D80</f>
        <v>-4810.41</v>
      </c>
      <c r="E83" s="14"/>
      <c r="F83" s="20">
        <f>IF(D$12=0,0,D83/D$12)</f>
        <v>-1.2992504962929952</v>
      </c>
      <c r="G83" s="14"/>
      <c r="H83" s="21">
        <f>+H28-H30+H80</f>
        <v>8940.9179732595949</v>
      </c>
      <c r="I83" s="14"/>
      <c r="J83" s="20">
        <f>IF(H$12=0,0,H83/H$12)</f>
        <v>0.21037454054728458</v>
      </c>
      <c r="K83" s="16"/>
      <c r="L83" s="21">
        <f>+D83-H83</f>
        <v>-13751.327973259595</v>
      </c>
      <c r="M83" s="16"/>
      <c r="N83" s="20">
        <f>IF(H83=0,0,L83/H83)</f>
        <v>-1.5380219362695111</v>
      </c>
      <c r="O83" s="29"/>
      <c r="P83" s="21">
        <f>+P28-P30+P80</f>
        <v>-90042.290000000095</v>
      </c>
      <c r="Q83" s="14"/>
      <c r="R83" s="20">
        <f>IF(P$12=0,0,P83/P$12)</f>
        <v>-0.78504157196827773</v>
      </c>
      <c r="S83" s="14"/>
      <c r="T83" s="21">
        <f>+T28-T30+T80</f>
        <v>94472.276423084782</v>
      </c>
      <c r="U83" s="14"/>
      <c r="V83" s="20">
        <f>IF(T$12=0,0,T83/T$12)</f>
        <v>0.27406067198824757</v>
      </c>
      <c r="W83" s="16"/>
      <c r="X83" s="21">
        <f>+P83-T83</f>
        <v>-184514.56642308488</v>
      </c>
      <c r="Y83" s="16"/>
      <c r="Z83" s="20">
        <f>IF(T83=0,0,X83/T83)</f>
        <v>-1.9531080800546667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128</v>
      </c>
      <c r="C85" s="10"/>
      <c r="D85" s="4">
        <v>1120.05</v>
      </c>
      <c r="E85" s="4"/>
      <c r="F85" s="12">
        <f>IF(D$12=0,0,D85/D$12)</f>
        <v>0.3025159016327027</v>
      </c>
      <c r="G85" s="4"/>
      <c r="H85" s="4">
        <v>9000</v>
      </c>
      <c r="I85" s="4"/>
      <c r="J85" s="12">
        <f>IF(H$12=0,0,H85/H$12)</f>
        <v>0.21176470588235294</v>
      </c>
      <c r="K85" s="4"/>
      <c r="L85" s="4">
        <f>+D85-H85</f>
        <v>-7879.95</v>
      </c>
      <c r="M85" s="4"/>
      <c r="N85" s="12">
        <f>IF(H85=0,0,L85/H85)</f>
        <v>-0.87554999999999994</v>
      </c>
      <c r="O85" s="10"/>
      <c r="P85" s="4">
        <v>23995.18</v>
      </c>
      <c r="Q85" s="4"/>
      <c r="R85" s="12">
        <f>IF(P$12=0,0,P85/P$12)</f>
        <v>0.20920407318451983</v>
      </c>
      <c r="S85" s="4"/>
      <c r="T85" s="4">
        <v>62442</v>
      </c>
      <c r="U85" s="4"/>
      <c r="V85" s="12">
        <f>IF(T$12=0,0,T85/T$12)</f>
        <v>0.18114199348443488</v>
      </c>
      <c r="W85" s="4"/>
      <c r="X85" s="4">
        <f>+P85-T85</f>
        <v>-38446.82</v>
      </c>
      <c r="Y85" s="4"/>
      <c r="Z85" s="12">
        <f>IF(T85=0,0,X85/T85)</f>
        <v>-0.61572050863201055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126</v>
      </c>
      <c r="C87" s="28"/>
      <c r="D87" s="31">
        <f>+D83-D85</f>
        <v>-5930.46</v>
      </c>
      <c r="E87" s="14"/>
      <c r="F87" s="33">
        <f>IF(D$12=0,0,D87/D$12)</f>
        <v>-1.601766397925698</v>
      </c>
      <c r="G87" s="14"/>
      <c r="H87" s="31">
        <f>+H83-H85</f>
        <v>-59.082026740405126</v>
      </c>
      <c r="I87" s="14"/>
      <c r="J87" s="33">
        <f>IF(H$12=0,0,H87/H$12)</f>
        <v>-1.3901653350683559E-3</v>
      </c>
      <c r="K87" s="16"/>
      <c r="L87" s="31">
        <f>D87-H87</f>
        <v>-5871.3779732595949</v>
      </c>
      <c r="M87" s="16"/>
      <c r="N87" s="33">
        <f>IF(H87=0,0,L87/H87)</f>
        <v>99.376719066481613</v>
      </c>
      <c r="O87" s="29"/>
      <c r="P87" s="31">
        <f>+P83-P85</f>
        <v>-114037.47000000009</v>
      </c>
      <c r="Q87" s="14"/>
      <c r="R87" s="33">
        <f>IF(P$12=0,0,P87/P$12)</f>
        <v>-0.99424564515279756</v>
      </c>
      <c r="S87" s="14"/>
      <c r="T87" s="31">
        <f>+T83-T85</f>
        <v>32030.276423084782</v>
      </c>
      <c r="U87" s="14"/>
      <c r="V87" s="33">
        <f>IF(T$12=0,0,T87/T$12)</f>
        <v>9.2918678503812691E-2</v>
      </c>
      <c r="W87" s="16"/>
      <c r="X87" s="31">
        <f>P87-T87</f>
        <v>-146067.74642308487</v>
      </c>
      <c r="Y87" s="16"/>
      <c r="Z87" s="33">
        <f>IF(T87=0,0,X87/T87)</f>
        <v>-4.5603023993202658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294</v>
      </c>
      <c r="C90" s="28"/>
      <c r="D90" s="34">
        <f>SUM(D87:D89)</f>
        <v>-5930.46</v>
      </c>
      <c r="E90" s="14"/>
      <c r="F90" s="35">
        <f>IF(D$12=0,0,D90/D$12)</f>
        <v>-1.601766397925698</v>
      </c>
      <c r="G90" s="14"/>
      <c r="H90" s="34">
        <f>SUM(H87:H89)</f>
        <v>-59.082026740405126</v>
      </c>
      <c r="I90" s="14"/>
      <c r="J90" s="35">
        <f>IF(H$12=0,0,H90/H$12)</f>
        <v>-1.3901653350683559E-3</v>
      </c>
      <c r="K90" s="16"/>
      <c r="L90" s="34">
        <f>+D90-H90</f>
        <v>-5871.3779732595949</v>
      </c>
      <c r="M90" s="16"/>
      <c r="N90" s="35">
        <f>IF(H90=0,0,L90/H90)</f>
        <v>99.376719066481613</v>
      </c>
      <c r="O90" s="29"/>
      <c r="P90" s="34">
        <f>SUM(P87:P89)</f>
        <v>-114037.47000000009</v>
      </c>
      <c r="Q90" s="14"/>
      <c r="R90" s="35">
        <f>IF(P$12=0,0,P90/P$12)</f>
        <v>-0.99424564515279756</v>
      </c>
      <c r="S90" s="14"/>
      <c r="T90" s="34">
        <f>SUM(T87:T89)</f>
        <v>32030.276423084782</v>
      </c>
      <c r="U90" s="14"/>
      <c r="V90" s="35">
        <f>IF(T$12=0,0,T90/T$12)</f>
        <v>9.2918678503812691E-2</v>
      </c>
      <c r="W90" s="16"/>
      <c r="X90" s="34">
        <f>+P90-T90</f>
        <v>-146067.74642308487</v>
      </c>
      <c r="Y90" s="16"/>
      <c r="Z90" s="35">
        <f>IF(T90=0,0,X90/T90)</f>
        <v>-4.5603023993202658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2">
        <v>44330.0058283912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5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403227.43999999994</v>
      </c>
      <c r="E12" s="4"/>
      <c r="F12" s="12"/>
      <c r="G12" s="4"/>
      <c r="H12" s="4">
        <f>SUM(OSRRefH13x_0)</f>
        <v>271241</v>
      </c>
      <c r="I12" s="4"/>
      <c r="J12" s="12"/>
      <c r="K12" s="4"/>
      <c r="L12" s="4">
        <f t="shared" ref="L12:L31" si="0">+D12-H12</f>
        <v>131986.43999999994</v>
      </c>
      <c r="M12" s="4"/>
      <c r="N12" s="12">
        <f t="shared" ref="N12:N31" si="1">IF(H12=0,0,L12/H12)</f>
        <v>0.4866020992401589</v>
      </c>
      <c r="O12" s="10"/>
      <c r="P12" s="4">
        <f>SUM(OSRRefP13x_0)</f>
        <v>2422783.8999999994</v>
      </c>
      <c r="Q12" s="4"/>
      <c r="R12" s="12"/>
      <c r="S12" s="4"/>
      <c r="T12" s="4">
        <f>SUM(OSRRefT13x_0)</f>
        <v>2105744</v>
      </c>
      <c r="U12" s="4"/>
      <c r="V12" s="12"/>
      <c r="W12" s="4"/>
      <c r="X12" s="4">
        <f t="shared" ref="X12:X31" si="2">+P12-T12</f>
        <v>317039.89999999944</v>
      </c>
      <c r="Y12" s="4"/>
      <c r="Z12" s="12">
        <f t="shared" ref="Z12:Z31" si="3">IF(T12=0,0,X12/T12)</f>
        <v>0.15055956469542331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-174.96</f>
        <v>-174.96</v>
      </c>
      <c r="E13" s="2"/>
      <c r="F13" s="19"/>
      <c r="G13" s="2"/>
      <c r="H13" s="2">
        <v>238485</v>
      </c>
      <c r="I13" s="2"/>
      <c r="J13" s="19"/>
      <c r="K13" s="2"/>
      <c r="L13" s="2">
        <f t="shared" si="0"/>
        <v>-238659.96</v>
      </c>
      <c r="M13" s="2"/>
      <c r="N13" s="19">
        <f t="shared" si="1"/>
        <v>-1.0007336310459778</v>
      </c>
      <c r="O13" s="11"/>
      <c r="P13" s="2">
        <f>-2908.11</f>
        <v>-2908.11</v>
      </c>
      <c r="Q13" s="2"/>
      <c r="R13" s="19"/>
      <c r="S13" s="2"/>
      <c r="T13" s="2">
        <v>1943263</v>
      </c>
      <c r="U13" s="2"/>
      <c r="V13" s="19"/>
      <c r="W13" s="2"/>
      <c r="X13" s="2">
        <f t="shared" si="2"/>
        <v>-1946171.11</v>
      </c>
      <c r="Y13" s="2"/>
      <c r="Z13" s="19">
        <f t="shared" si="3"/>
        <v>-1.001496508707262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--1628.82</f>
        <v>1628.82</v>
      </c>
      <c r="E14" s="2"/>
      <c r="F14" s="19"/>
      <c r="G14" s="2"/>
      <c r="H14" s="2"/>
      <c r="I14" s="2"/>
      <c r="J14" s="19"/>
      <c r="K14" s="2"/>
      <c r="L14" s="2">
        <f t="shared" si="0"/>
        <v>1628.82</v>
      </c>
      <c r="M14" s="2"/>
      <c r="N14" s="19">
        <f t="shared" si="1"/>
        <v>0</v>
      </c>
      <c r="O14" s="11"/>
      <c r="P14" s="2">
        <f>--62096.07</f>
        <v>62096.07</v>
      </c>
      <c r="Q14" s="2"/>
      <c r="R14" s="19"/>
      <c r="S14" s="2"/>
      <c r="T14" s="2"/>
      <c r="U14" s="2"/>
      <c r="V14" s="19"/>
      <c r="W14" s="2"/>
      <c r="X14" s="2">
        <f t="shared" si="2"/>
        <v>62096.07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--354181.27</f>
        <v>354181.27</v>
      </c>
      <c r="E15" s="2"/>
      <c r="F15" s="19"/>
      <c r="G15" s="2"/>
      <c r="H15" s="2"/>
      <c r="I15" s="2"/>
      <c r="J15" s="19"/>
      <c r="K15" s="2"/>
      <c r="L15" s="2">
        <f t="shared" si="0"/>
        <v>354181.27</v>
      </c>
      <c r="M15" s="2"/>
      <c r="N15" s="19">
        <f t="shared" si="1"/>
        <v>0</v>
      </c>
      <c r="O15" s="11"/>
      <c r="P15" s="2">
        <f>--2012047.63</f>
        <v>2012047.63</v>
      </c>
      <c r="Q15" s="2"/>
      <c r="R15" s="19"/>
      <c r="S15" s="2"/>
      <c r="T15" s="2"/>
      <c r="U15" s="2"/>
      <c r="V15" s="19"/>
      <c r="W15" s="2"/>
      <c r="X15" s="2">
        <f t="shared" si="2"/>
        <v>2012047.63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--7273.67</f>
        <v>7273.67</v>
      </c>
      <c r="E16" s="2"/>
      <c r="F16" s="19"/>
      <c r="G16" s="2"/>
      <c r="H16" s="2"/>
      <c r="I16" s="2"/>
      <c r="J16" s="19"/>
      <c r="K16" s="2"/>
      <c r="L16" s="2">
        <f t="shared" si="0"/>
        <v>7273.67</v>
      </c>
      <c r="M16" s="2"/>
      <c r="N16" s="19">
        <f t="shared" si="1"/>
        <v>0</v>
      </c>
      <c r="O16" s="11"/>
      <c r="P16" s="2">
        <f>--126932.94</f>
        <v>126932.94</v>
      </c>
      <c r="Q16" s="2"/>
      <c r="R16" s="19"/>
      <c r="S16" s="2"/>
      <c r="T16" s="2"/>
      <c r="U16" s="2"/>
      <c r="V16" s="19"/>
      <c r="W16" s="2"/>
      <c r="X16" s="2">
        <f t="shared" si="2"/>
        <v>126932.94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--1771.88</f>
        <v>1771.88</v>
      </c>
      <c r="E17" s="2"/>
      <c r="F17" s="19"/>
      <c r="G17" s="2"/>
      <c r="H17" s="2"/>
      <c r="I17" s="2"/>
      <c r="J17" s="19"/>
      <c r="K17" s="2"/>
      <c r="L17" s="2">
        <f t="shared" si="0"/>
        <v>1771.88</v>
      </c>
      <c r="M17" s="2"/>
      <c r="N17" s="19">
        <f t="shared" si="1"/>
        <v>0</v>
      </c>
      <c r="O17" s="11"/>
      <c r="P17" s="2">
        <f>--4870.79</f>
        <v>4870.79</v>
      </c>
      <c r="Q17" s="2"/>
      <c r="R17" s="19"/>
      <c r="S17" s="2"/>
      <c r="T17" s="2"/>
      <c r="U17" s="2"/>
      <c r="V17" s="19"/>
      <c r="W17" s="2"/>
      <c r="X17" s="2">
        <f t="shared" si="2"/>
        <v>4870.79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--5818.73</f>
        <v>5818.73</v>
      </c>
      <c r="E18" s="2"/>
      <c r="F18" s="19"/>
      <c r="G18" s="2"/>
      <c r="H18" s="2"/>
      <c r="I18" s="2"/>
      <c r="J18" s="19"/>
      <c r="K18" s="2"/>
      <c r="L18" s="2">
        <f t="shared" si="0"/>
        <v>5818.73</v>
      </c>
      <c r="M18" s="2"/>
      <c r="N18" s="19">
        <f t="shared" si="1"/>
        <v>0</v>
      </c>
      <c r="O18" s="11"/>
      <c r="P18" s="2">
        <f>--65269.63</f>
        <v>65269.63</v>
      </c>
      <c r="Q18" s="2"/>
      <c r="R18" s="19"/>
      <c r="S18" s="2"/>
      <c r="T18" s="2"/>
      <c r="U18" s="2"/>
      <c r="V18" s="19"/>
      <c r="W18" s="2"/>
      <c r="X18" s="2">
        <f t="shared" si="2"/>
        <v>65269.63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32756</v>
      </c>
      <c r="I19" s="2"/>
      <c r="J19" s="19"/>
      <c r="K19" s="2"/>
      <c r="L19" s="2">
        <f t="shared" si="0"/>
        <v>-32756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162481</v>
      </c>
      <c r="U19" s="2"/>
      <c r="V19" s="19"/>
      <c r="W19" s="2"/>
      <c r="X19" s="2">
        <f t="shared" si="2"/>
        <v>-162481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--29.99</f>
        <v>29.99</v>
      </c>
      <c r="E20" s="2"/>
      <c r="F20" s="19"/>
      <c r="G20" s="2"/>
      <c r="H20" s="2"/>
      <c r="I20" s="2"/>
      <c r="J20" s="19"/>
      <c r="K20" s="2"/>
      <c r="L20" s="2">
        <f t="shared" si="0"/>
        <v>29.99</v>
      </c>
      <c r="M20" s="2"/>
      <c r="N20" s="19">
        <f t="shared" si="1"/>
        <v>0</v>
      </c>
      <c r="O20" s="11"/>
      <c r="P20" s="2">
        <f>--12508.62</f>
        <v>12508.62</v>
      </c>
      <c r="Q20" s="2"/>
      <c r="R20" s="19"/>
      <c r="S20" s="2"/>
      <c r="T20" s="2"/>
      <c r="U20" s="2"/>
      <c r="V20" s="19"/>
      <c r="W20" s="2"/>
      <c r="X20" s="2">
        <f t="shared" si="2"/>
        <v>12508.62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--61075.64</f>
        <v>61075.64</v>
      </c>
      <c r="E21" s="2"/>
      <c r="F21" s="19"/>
      <c r="G21" s="2"/>
      <c r="H21" s="2"/>
      <c r="I21" s="2"/>
      <c r="J21" s="19"/>
      <c r="K21" s="2"/>
      <c r="L21" s="2">
        <f t="shared" si="0"/>
        <v>61075.64</v>
      </c>
      <c r="M21" s="2"/>
      <c r="N21" s="19">
        <f t="shared" si="1"/>
        <v>0</v>
      </c>
      <c r="O21" s="11"/>
      <c r="P21" s="2">
        <f>--314490.47</f>
        <v>314490.46999999997</v>
      </c>
      <c r="Q21" s="2"/>
      <c r="R21" s="19"/>
      <c r="S21" s="2"/>
      <c r="T21" s="2"/>
      <c r="U21" s="2"/>
      <c r="V21" s="19"/>
      <c r="W21" s="2"/>
      <c r="X21" s="2">
        <f t="shared" si="2"/>
        <v>314490.46999999997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--2879.59</f>
        <v>2879.59</v>
      </c>
      <c r="E22" s="2"/>
      <c r="F22" s="19"/>
      <c r="G22" s="2"/>
      <c r="H22" s="2"/>
      <c r="I22" s="2"/>
      <c r="J22" s="19"/>
      <c r="K22" s="2"/>
      <c r="L22" s="2">
        <f t="shared" si="0"/>
        <v>2879.59</v>
      </c>
      <c r="M22" s="2"/>
      <c r="N22" s="19">
        <f t="shared" si="1"/>
        <v>0</v>
      </c>
      <c r="O22" s="11"/>
      <c r="P22" s="2">
        <f>--19486.02</f>
        <v>19486.02</v>
      </c>
      <c r="Q22" s="2"/>
      <c r="R22" s="19"/>
      <c r="S22" s="2"/>
      <c r="T22" s="2"/>
      <c r="U22" s="2"/>
      <c r="V22" s="19"/>
      <c r="W22" s="2"/>
      <c r="X22" s="2">
        <f t="shared" si="2"/>
        <v>19486.02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--11345.61</f>
        <v>11345.61</v>
      </c>
      <c r="E23" s="2"/>
      <c r="F23" s="19"/>
      <c r="G23" s="2"/>
      <c r="H23" s="2"/>
      <c r="I23" s="2"/>
      <c r="J23" s="19"/>
      <c r="K23" s="2"/>
      <c r="L23" s="2">
        <f t="shared" si="0"/>
        <v>11345.61</v>
      </c>
      <c r="M23" s="2"/>
      <c r="N23" s="19">
        <f t="shared" si="1"/>
        <v>0</v>
      </c>
      <c r="O23" s="11"/>
      <c r="P23" s="2">
        <f>--50032.39</f>
        <v>50032.39</v>
      </c>
      <c r="Q23" s="2"/>
      <c r="R23" s="19"/>
      <c r="S23" s="2"/>
      <c r="T23" s="2"/>
      <c r="U23" s="2"/>
      <c r="V23" s="19"/>
      <c r="W23" s="2"/>
      <c r="X23" s="2">
        <f t="shared" si="2"/>
        <v>50032.39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--89.97</f>
        <v>89.97</v>
      </c>
      <c r="E24" s="2"/>
      <c r="F24" s="19"/>
      <c r="G24" s="2"/>
      <c r="H24" s="2"/>
      <c r="I24" s="2"/>
      <c r="J24" s="19"/>
      <c r="K24" s="2"/>
      <c r="L24" s="2">
        <f t="shared" si="0"/>
        <v>89.97</v>
      </c>
      <c r="M24" s="2"/>
      <c r="N24" s="19">
        <f t="shared" si="1"/>
        <v>0</v>
      </c>
      <c r="O24" s="11"/>
      <c r="P24" s="2">
        <f>--3345.17</f>
        <v>3345.17</v>
      </c>
      <c r="Q24" s="2"/>
      <c r="R24" s="19"/>
      <c r="S24" s="2"/>
      <c r="T24" s="2"/>
      <c r="U24" s="2"/>
      <c r="V24" s="19"/>
      <c r="W24" s="2"/>
      <c r="X24" s="2">
        <f t="shared" si="2"/>
        <v>3345.17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-14762.14</f>
        <v>-14762.14</v>
      </c>
      <c r="Q25" s="2"/>
      <c r="R25" s="19"/>
      <c r="S25" s="2"/>
      <c r="T25" s="2"/>
      <c r="U25" s="2"/>
      <c r="V25" s="19"/>
      <c r="W25" s="2"/>
      <c r="X25" s="2">
        <f t="shared" si="2"/>
        <v>-14762.14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-42380</f>
        <v>-42380</v>
      </c>
      <c r="E26" s="2"/>
      <c r="F26" s="19"/>
      <c r="G26" s="2"/>
      <c r="H26" s="2"/>
      <c r="I26" s="2"/>
      <c r="J26" s="19"/>
      <c r="K26" s="2"/>
      <c r="L26" s="2">
        <f t="shared" si="0"/>
        <v>-42380</v>
      </c>
      <c r="M26" s="2"/>
      <c r="N26" s="19">
        <f t="shared" si="1"/>
        <v>0</v>
      </c>
      <c r="O26" s="11"/>
      <c r="P26" s="2">
        <f>-215145.16</f>
        <v>-215145.16</v>
      </c>
      <c r="Q26" s="2"/>
      <c r="R26" s="19"/>
      <c r="S26" s="2"/>
      <c r="T26" s="2"/>
      <c r="U26" s="2"/>
      <c r="V26" s="19"/>
      <c r="W26" s="2"/>
      <c r="X26" s="2">
        <f t="shared" si="2"/>
        <v>-215145.16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-197.95</f>
        <v>-197.95</v>
      </c>
      <c r="E27" s="2"/>
      <c r="F27" s="19"/>
      <c r="G27" s="2"/>
      <c r="H27" s="2"/>
      <c r="I27" s="2"/>
      <c r="J27" s="19"/>
      <c r="K27" s="2"/>
      <c r="L27" s="2">
        <f t="shared" si="0"/>
        <v>-197.95</v>
      </c>
      <c r="M27" s="2"/>
      <c r="N27" s="19">
        <f t="shared" si="1"/>
        <v>0</v>
      </c>
      <c r="O27" s="11"/>
      <c r="P27" s="2">
        <f>-3947.2</f>
        <v>-3947.2</v>
      </c>
      <c r="Q27" s="2"/>
      <c r="R27" s="19"/>
      <c r="S27" s="2"/>
      <c r="T27" s="2"/>
      <c r="U27" s="2"/>
      <c r="V27" s="19"/>
      <c r="W27" s="2"/>
      <c r="X27" s="2">
        <f t="shared" si="2"/>
        <v>-3947.2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-99.83</f>
        <v>-99.83</v>
      </c>
      <c r="E28" s="2"/>
      <c r="F28" s="19"/>
      <c r="G28" s="2"/>
      <c r="H28" s="2"/>
      <c r="I28" s="2"/>
      <c r="J28" s="19"/>
      <c r="K28" s="2"/>
      <c r="L28" s="2">
        <f t="shared" si="0"/>
        <v>-99.83</v>
      </c>
      <c r="M28" s="2"/>
      <c r="N28" s="19">
        <f t="shared" si="1"/>
        <v>0</v>
      </c>
      <c r="O28" s="11"/>
      <c r="P28" s="2">
        <f>-1091.79</f>
        <v>-1091.79</v>
      </c>
      <c r="Q28" s="2"/>
      <c r="R28" s="19"/>
      <c r="S28" s="2"/>
      <c r="T28" s="2"/>
      <c r="U28" s="2"/>
      <c r="V28" s="19"/>
      <c r="W28" s="2"/>
      <c r="X28" s="2">
        <f t="shared" si="2"/>
        <v>-1091.79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 t="shared" ref="D29:D30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-4802.29</f>
        <v>-4802.29</v>
      </c>
      <c r="Q29" s="2"/>
      <c r="R29" s="19"/>
      <c r="S29" s="2"/>
      <c r="T29" s="2"/>
      <c r="U29" s="2"/>
      <c r="V29" s="19"/>
      <c r="W29" s="2"/>
      <c r="X29" s="2">
        <f t="shared" si="2"/>
        <v>-4802.29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-5624.15</f>
        <v>-5624.15</v>
      </c>
      <c r="Q30" s="2"/>
      <c r="R30" s="19"/>
      <c r="S30" s="2"/>
      <c r="T30" s="2"/>
      <c r="U30" s="2"/>
      <c r="V30" s="19"/>
      <c r="W30" s="2"/>
      <c r="X30" s="2">
        <f t="shared" si="2"/>
        <v>-5624.15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"4383", " - ", "SALES RETURN NON TAXABLE-COMPU")</f>
        <v xml:space="preserve">          4383 - SALES RETURN NON TAXABLE-COMPU</v>
      </c>
      <c r="C31" s="11"/>
      <c r="D31" s="2">
        <f>-14.99</f>
        <v>-14.99</v>
      </c>
      <c r="E31" s="2"/>
      <c r="F31" s="19"/>
      <c r="G31" s="2"/>
      <c r="H31" s="2"/>
      <c r="I31" s="2"/>
      <c r="J31" s="19"/>
      <c r="K31" s="2"/>
      <c r="L31" s="2">
        <f t="shared" si="0"/>
        <v>-14.99</v>
      </c>
      <c r="M31" s="2"/>
      <c r="N31" s="19">
        <f t="shared" si="1"/>
        <v>0</v>
      </c>
      <c r="O31" s="11"/>
      <c r="P31" s="2">
        <f>-14.99</f>
        <v>-14.99</v>
      </c>
      <c r="Q31" s="2"/>
      <c r="R31" s="19"/>
      <c r="S31" s="2"/>
      <c r="T31" s="2"/>
      <c r="U31" s="2"/>
      <c r="V31" s="19"/>
      <c r="W31" s="2"/>
      <c r="X31" s="2">
        <f t="shared" si="2"/>
        <v>-14.99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257</v>
      </c>
      <c r="C33" s="10"/>
      <c r="D33" s="4">
        <f>SUM(OSRRefD16x_0)</f>
        <v>369412.99999999994</v>
      </c>
      <c r="E33" s="4"/>
      <c r="F33" s="12">
        <f t="shared" ref="F33:F47" si="5">IF(D$12=0,0,D33/D$12)</f>
        <v>0.91614052853149075</v>
      </c>
      <c r="G33" s="4"/>
      <c r="H33" s="4">
        <f>SUM(OSRRefH16x_0)</f>
        <v>279233</v>
      </c>
      <c r="I33" s="4"/>
      <c r="J33" s="12">
        <f t="shared" ref="J33:J47" si="6">IF(H$12=0,0,H33/H$12)</f>
        <v>1.0294645720964013</v>
      </c>
      <c r="K33" s="4"/>
      <c r="L33" s="4">
        <f t="shared" ref="L33:L47" si="7">+D33-H33</f>
        <v>90179.999999999942</v>
      </c>
      <c r="M33" s="4"/>
      <c r="N33" s="12">
        <f t="shared" ref="N33:N47" si="8">IF(H33=0,0,L33/H33)</f>
        <v>0.32295609759591432</v>
      </c>
      <c r="O33" s="10"/>
      <c r="P33" s="4">
        <f>SUM(OSRRefP16x_0)</f>
        <v>2233934.84</v>
      </c>
      <c r="Q33" s="4"/>
      <c r="R33" s="12">
        <f t="shared" ref="R33:R47" si="9">IF(P$12=0,0,P33/P$12)</f>
        <v>0.92205286653919083</v>
      </c>
      <c r="S33" s="4"/>
      <c r="T33" s="4">
        <f>SUM(OSRRefT16x_0)</f>
        <v>1711912</v>
      </c>
      <c r="U33" s="4"/>
      <c r="V33" s="12">
        <f t="shared" ref="V33:V47" si="10">IF(T$12=0,0,T33/T$12)</f>
        <v>0.81297251707709961</v>
      </c>
      <c r="W33" s="4"/>
      <c r="X33" s="4">
        <f t="shared" ref="X33:X47" si="11">+P33-T33</f>
        <v>522022.83999999985</v>
      </c>
      <c r="Y33" s="4"/>
      <c r="Z33" s="12">
        <f t="shared" ref="Z33:Z47" si="12">IF(T33=0,0,X33/T33)</f>
        <v>0.30493555743519518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5"/>
        <v>0</v>
      </c>
      <c r="G34" s="2"/>
      <c r="H34" s="2">
        <v>279233</v>
      </c>
      <c r="I34" s="2"/>
      <c r="J34" s="19">
        <f t="shared" si="6"/>
        <v>1.0294645720964013</v>
      </c>
      <c r="K34" s="2"/>
      <c r="L34" s="2">
        <f t="shared" si="7"/>
        <v>-279233</v>
      </c>
      <c r="M34" s="2"/>
      <c r="N34" s="19">
        <f t="shared" si="8"/>
        <v>-1</v>
      </c>
      <c r="O34" s="11"/>
      <c r="P34" s="2">
        <v>0</v>
      </c>
      <c r="Q34" s="2"/>
      <c r="R34" s="19">
        <f t="shared" si="9"/>
        <v>0</v>
      </c>
      <c r="S34" s="2"/>
      <c r="T34" s="2">
        <v>1711912</v>
      </c>
      <c r="U34" s="2"/>
      <c r="V34" s="19">
        <f t="shared" si="10"/>
        <v>0.81297251707709961</v>
      </c>
      <c r="W34" s="2"/>
      <c r="X34" s="2">
        <f t="shared" si="11"/>
        <v>-1711912</v>
      </c>
      <c r="Y34" s="2"/>
      <c r="Z34" s="19">
        <f t="shared" si="12"/>
        <v>-1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-19.5</v>
      </c>
      <c r="E35" s="2"/>
      <c r="F35" s="19">
        <f t="shared" si="5"/>
        <v>-4.8359804084761701E-5</v>
      </c>
      <c r="G35" s="2"/>
      <c r="H35" s="2"/>
      <c r="I35" s="2"/>
      <c r="J35" s="19">
        <f t="shared" si="6"/>
        <v>0</v>
      </c>
      <c r="K35" s="2"/>
      <c r="L35" s="2">
        <f t="shared" si="7"/>
        <v>-19.5</v>
      </c>
      <c r="M35" s="2"/>
      <c r="N35" s="19">
        <f t="shared" si="8"/>
        <v>0</v>
      </c>
      <c r="O35" s="11"/>
      <c r="P35" s="2">
        <v>32448.37</v>
      </c>
      <c r="Q35" s="2"/>
      <c r="R35" s="19">
        <f t="shared" si="9"/>
        <v>1.3393010412525858E-2</v>
      </c>
      <c r="S35" s="2"/>
      <c r="T35" s="2"/>
      <c r="U35" s="2"/>
      <c r="V35" s="19">
        <f t="shared" si="10"/>
        <v>0</v>
      </c>
      <c r="W35" s="2"/>
      <c r="X35" s="2">
        <f t="shared" si="11"/>
        <v>32448.37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277047.03999999998</v>
      </c>
      <c r="E36" s="2"/>
      <c r="F36" s="19">
        <f t="shared" si="5"/>
        <v>0.68707387572631473</v>
      </c>
      <c r="G36" s="2"/>
      <c r="H36" s="2"/>
      <c r="I36" s="2"/>
      <c r="J36" s="19">
        <f t="shared" si="6"/>
        <v>0</v>
      </c>
      <c r="K36" s="2"/>
      <c r="L36" s="2">
        <f t="shared" si="7"/>
        <v>277047.03999999998</v>
      </c>
      <c r="M36" s="2"/>
      <c r="N36" s="19">
        <f t="shared" si="8"/>
        <v>0</v>
      </c>
      <c r="O36" s="11"/>
      <c r="P36" s="2">
        <v>1673340.8</v>
      </c>
      <c r="Q36" s="2"/>
      <c r="R36" s="19">
        <f t="shared" si="9"/>
        <v>0.69066861472870134</v>
      </c>
      <c r="S36" s="2"/>
      <c r="T36" s="2"/>
      <c r="U36" s="2"/>
      <c r="V36" s="19">
        <f t="shared" si="10"/>
        <v>0</v>
      </c>
      <c r="W36" s="2"/>
      <c r="X36" s="2">
        <f t="shared" si="11"/>
        <v>1673340.8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14312.16</v>
      </c>
      <c r="E37" s="2"/>
      <c r="F37" s="19">
        <f t="shared" si="5"/>
        <v>3.5494013006654515E-2</v>
      </c>
      <c r="G37" s="2"/>
      <c r="H37" s="2"/>
      <c r="I37" s="2"/>
      <c r="J37" s="19">
        <f t="shared" si="6"/>
        <v>0</v>
      </c>
      <c r="K37" s="2"/>
      <c r="L37" s="2">
        <f t="shared" si="7"/>
        <v>14312.16</v>
      </c>
      <c r="M37" s="2"/>
      <c r="N37" s="19">
        <f t="shared" si="8"/>
        <v>0</v>
      </c>
      <c r="O37" s="11"/>
      <c r="P37" s="2">
        <v>119515.49</v>
      </c>
      <c r="Q37" s="2"/>
      <c r="R37" s="19">
        <f t="shared" si="9"/>
        <v>4.9329818478651782E-2</v>
      </c>
      <c r="S37" s="2"/>
      <c r="T37" s="2"/>
      <c r="U37" s="2"/>
      <c r="V37" s="19">
        <f t="shared" si="10"/>
        <v>0</v>
      </c>
      <c r="W37" s="2"/>
      <c r="X37" s="2">
        <f t="shared" si="11"/>
        <v>119515.49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4012.17</v>
      </c>
      <c r="E38" s="2"/>
      <c r="F38" s="19">
        <f t="shared" si="5"/>
        <v>9.9501412899876077E-3</v>
      </c>
      <c r="G38" s="2"/>
      <c r="H38" s="2"/>
      <c r="I38" s="2"/>
      <c r="J38" s="19">
        <f t="shared" si="6"/>
        <v>0</v>
      </c>
      <c r="K38" s="2"/>
      <c r="L38" s="2">
        <f t="shared" si="7"/>
        <v>4012.17</v>
      </c>
      <c r="M38" s="2"/>
      <c r="N38" s="19">
        <f t="shared" si="8"/>
        <v>0</v>
      </c>
      <c r="O38" s="11"/>
      <c r="P38" s="2">
        <v>37910.879999999997</v>
      </c>
      <c r="Q38" s="2"/>
      <c r="R38" s="19">
        <f t="shared" si="9"/>
        <v>1.5647652273073138E-2</v>
      </c>
      <c r="S38" s="2"/>
      <c r="T38" s="2"/>
      <c r="U38" s="2"/>
      <c r="V38" s="19">
        <f t="shared" si="10"/>
        <v>0</v>
      </c>
      <c r="W38" s="2"/>
      <c r="X38" s="2">
        <f t="shared" si="11"/>
        <v>37910.879999999997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28.4</v>
      </c>
      <c r="E39" s="2"/>
      <c r="F39" s="19">
        <f t="shared" si="5"/>
        <v>7.0431714667037548E-5</v>
      </c>
      <c r="G39" s="2"/>
      <c r="H39" s="2"/>
      <c r="I39" s="2"/>
      <c r="J39" s="19">
        <f t="shared" si="6"/>
        <v>0</v>
      </c>
      <c r="K39" s="2"/>
      <c r="L39" s="2">
        <f t="shared" si="7"/>
        <v>28.4</v>
      </c>
      <c r="M39" s="2"/>
      <c r="N39" s="19">
        <f t="shared" si="8"/>
        <v>0</v>
      </c>
      <c r="O39" s="11"/>
      <c r="P39" s="2">
        <v>23679.39</v>
      </c>
      <c r="Q39" s="2"/>
      <c r="R39" s="19">
        <f t="shared" si="9"/>
        <v>9.7736285931238048E-3</v>
      </c>
      <c r="S39" s="2"/>
      <c r="T39" s="2"/>
      <c r="U39" s="2"/>
      <c r="V39" s="19">
        <f t="shared" si="10"/>
        <v>0</v>
      </c>
      <c r="W39" s="2"/>
      <c r="X39" s="2">
        <f t="shared" si="11"/>
        <v>23679.39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-295380.27</v>
      </c>
      <c r="E40" s="2"/>
      <c r="F40" s="19">
        <f t="shared" si="5"/>
        <v>-0.73254010193353924</v>
      </c>
      <c r="G40" s="2"/>
      <c r="H40" s="2"/>
      <c r="I40" s="2"/>
      <c r="J40" s="19">
        <f t="shared" si="6"/>
        <v>0</v>
      </c>
      <c r="K40" s="2"/>
      <c r="L40" s="2">
        <f t="shared" si="7"/>
        <v>-295380.27</v>
      </c>
      <c r="M40" s="2"/>
      <c r="N40" s="19">
        <f t="shared" si="8"/>
        <v>0</v>
      </c>
      <c r="O40" s="11"/>
      <c r="P40" s="2">
        <v>-1883381.08</v>
      </c>
      <c r="Q40" s="2"/>
      <c r="R40" s="19">
        <f t="shared" si="9"/>
        <v>-0.77736238877928832</v>
      </c>
      <c r="S40" s="2"/>
      <c r="T40" s="2"/>
      <c r="U40" s="2"/>
      <c r="V40" s="19">
        <f t="shared" si="10"/>
        <v>0</v>
      </c>
      <c r="W40" s="2"/>
      <c r="X40" s="2">
        <f t="shared" si="11"/>
        <v>-1883381.08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"5300", " - ", "COG$ OFFSET")</f>
        <v xml:space="preserve">          5300 - COG$ OFFSET</v>
      </c>
      <c r="C41" s="11"/>
      <c r="D41" s="2">
        <v>369413</v>
      </c>
      <c r="E41" s="2"/>
      <c r="F41" s="19">
        <f t="shared" si="5"/>
        <v>0.91614052853149097</v>
      </c>
      <c r="G41" s="2"/>
      <c r="H41" s="2"/>
      <c r="I41" s="2"/>
      <c r="J41" s="19">
        <f t="shared" si="6"/>
        <v>0</v>
      </c>
      <c r="K41" s="2"/>
      <c r="L41" s="2">
        <f t="shared" si="7"/>
        <v>369413</v>
      </c>
      <c r="M41" s="2"/>
      <c r="N41" s="19">
        <f t="shared" si="8"/>
        <v>0</v>
      </c>
      <c r="O41" s="11"/>
      <c r="P41" s="2">
        <v>2229989</v>
      </c>
      <c r="Q41" s="2"/>
      <c r="R41" s="19">
        <f t="shared" si="9"/>
        <v>0.92042422768287357</v>
      </c>
      <c r="S41" s="2"/>
      <c r="T41" s="2"/>
      <c r="U41" s="2"/>
      <c r="V41" s="19">
        <f t="shared" si="10"/>
        <v>0</v>
      </c>
      <c r="W41" s="2"/>
      <c r="X41" s="2">
        <f t="shared" si="11"/>
        <v>2229989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"5500", " - ", "FREIGHT-IN")</f>
        <v xml:space="preserve">          5500 - FREIGHT-IN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0</v>
      </c>
      <c r="Q42" s="2"/>
      <c r="R42" s="19">
        <f t="shared" si="9"/>
        <v>0</v>
      </c>
      <c r="S42" s="2"/>
      <c r="T42" s="2"/>
      <c r="U42" s="2"/>
      <c r="V42" s="19">
        <f t="shared" si="10"/>
        <v>0</v>
      </c>
      <c r="W42" s="2"/>
      <c r="X42" s="2">
        <f t="shared" si="11"/>
        <v>0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"5581", " - ", "FREIGHT-IN-ELECTRONICS")</f>
        <v xml:space="preserve">          5581 - FREIGHT-IN-ELECTRONICS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31</v>
      </c>
      <c r="Q43" s="2"/>
      <c r="R43" s="19">
        <f t="shared" si="9"/>
        <v>1.2795198118990309E-5</v>
      </c>
      <c r="S43" s="2"/>
      <c r="T43" s="2"/>
      <c r="U43" s="2"/>
      <c r="V43" s="19">
        <f t="shared" si="10"/>
        <v>0</v>
      </c>
      <c r="W43" s="2"/>
      <c r="X43" s="2">
        <f t="shared" si="11"/>
        <v>31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"5582", " - ", "FREIGHT-IN-COMPUTER HARDWARE")</f>
        <v xml:space="preserve">          5582 - FREIGHT-IN-COMPUTER HARDWARE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125</v>
      </c>
      <c r="Q44" s="2"/>
      <c r="R44" s="19">
        <f t="shared" si="9"/>
        <v>5.159354080238028E-5</v>
      </c>
      <c r="S44" s="2"/>
      <c r="T44" s="2"/>
      <c r="U44" s="2"/>
      <c r="V44" s="19">
        <f t="shared" si="10"/>
        <v>0</v>
      </c>
      <c r="W44" s="2"/>
      <c r="X44" s="2">
        <f t="shared" si="11"/>
        <v>125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"5583", " - ", "FREIGHT-IN-COMPUTER EQUIPMENT")</f>
        <v xml:space="preserve">          5583 - FREIGHT-IN-COMPUTER EQUIPMENT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242.46</v>
      </c>
      <c r="Q45" s="2"/>
      <c r="R45" s="19">
        <f t="shared" si="9"/>
        <v>1.0007495922356099E-4</v>
      </c>
      <c r="S45" s="2"/>
      <c r="T45" s="2"/>
      <c r="U45" s="2"/>
      <c r="V45" s="19">
        <f t="shared" si="10"/>
        <v>0</v>
      </c>
      <c r="W45" s="2"/>
      <c r="X45" s="2">
        <f t="shared" si="11"/>
        <v>242.46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"5585", " - ", "FREIGHT-IN-SOFTWARE")</f>
        <v xml:space="preserve">          5585 - FREIGHT-IN-SOFTWARE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9.41</v>
      </c>
      <c r="Q46" s="2"/>
      <c r="R46" s="19">
        <f t="shared" si="9"/>
        <v>3.8839617516031877E-6</v>
      </c>
      <c r="S46" s="2"/>
      <c r="T46" s="2"/>
      <c r="U46" s="2"/>
      <c r="V46" s="19">
        <f t="shared" si="10"/>
        <v>0</v>
      </c>
      <c r="W46" s="2"/>
      <c r="X46" s="2">
        <f t="shared" si="11"/>
        <v>9.41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24.12</v>
      </c>
      <c r="Q47" s="2"/>
      <c r="R47" s="19">
        <f t="shared" si="9"/>
        <v>9.9554896332272994E-6</v>
      </c>
      <c r="S47" s="2"/>
      <c r="T47" s="2"/>
      <c r="U47" s="2"/>
      <c r="V47" s="19">
        <f t="shared" si="10"/>
        <v>0</v>
      </c>
      <c r="W47" s="2"/>
      <c r="X47" s="2">
        <f t="shared" si="11"/>
        <v>24.12</v>
      </c>
      <c r="Y47" s="2"/>
      <c r="Z47" s="19">
        <f t="shared" si="12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108</v>
      </c>
      <c r="C49" s="28"/>
      <c r="D49" s="21">
        <f>D12-D33</f>
        <v>33814.44</v>
      </c>
      <c r="E49" s="14"/>
      <c r="F49" s="20">
        <f>IF(D$12=0,0,D49/D$12)</f>
        <v>8.3859471468509209E-2</v>
      </c>
      <c r="G49" s="14"/>
      <c r="H49" s="21">
        <f>H12-H33</f>
        <v>-7992</v>
      </c>
      <c r="I49" s="14"/>
      <c r="J49" s="20">
        <f>IF(H$12=0,0,H49/H$12)</f>
        <v>-2.9464572096401354E-2</v>
      </c>
      <c r="K49" s="16"/>
      <c r="L49" s="21">
        <f>+D49-H49</f>
        <v>41806.44</v>
      </c>
      <c r="M49" s="16"/>
      <c r="N49" s="20">
        <f>IF(H49=0,0,L49/H49)</f>
        <v>-5.231036036036036</v>
      </c>
      <c r="O49" s="29"/>
      <c r="P49" s="21">
        <f>P12-P33</f>
        <v>188849.05999999959</v>
      </c>
      <c r="Q49" s="14"/>
      <c r="R49" s="20">
        <f>IF(P$12=0,0,P49/P$12)</f>
        <v>7.7947133460809129E-2</v>
      </c>
      <c r="S49" s="14"/>
      <c r="T49" s="21">
        <f>T12-T33</f>
        <v>393832</v>
      </c>
      <c r="U49" s="14"/>
      <c r="V49" s="20">
        <f>IF(T$12=0,0,T49/T$12)</f>
        <v>0.18702748292290042</v>
      </c>
      <c r="W49" s="16"/>
      <c r="X49" s="21">
        <f>+P49-T49</f>
        <v>-204982.94000000041</v>
      </c>
      <c r="Y49" s="16"/>
      <c r="Z49" s="20">
        <f>IF(T49=0,0,X49/T49)</f>
        <v>-0.52048320095878553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295</v>
      </c>
      <c r="C51" s="10"/>
      <c r="D51" s="22">
        <f>SUM(OSRRefD22x_0)</f>
        <v>13637.129999999997</v>
      </c>
      <c r="E51" s="22"/>
      <c r="F51" s="32">
        <f t="shared" ref="F51:F62" si="13">IF(D$12=0,0,D51/D$12)</f>
        <v>3.3819945388637238E-2</v>
      </c>
      <c r="G51" s="22"/>
      <c r="H51" s="22">
        <f>SUM(OSRRefH22x_0)</f>
        <v>23065.210178557689</v>
      </c>
      <c r="I51" s="22"/>
      <c r="J51" s="32">
        <f t="shared" ref="J51:J62" si="14">IF(H$12=0,0,H51/H$12)</f>
        <v>8.5035854382477905E-2</v>
      </c>
      <c r="K51" s="4"/>
      <c r="L51" s="22">
        <f t="shared" ref="L51:L62" si="15">+D51-H51</f>
        <v>-9428.0801785576914</v>
      </c>
      <c r="M51" s="4"/>
      <c r="N51" s="32">
        <f t="shared" ref="N51:N62" si="16">IF(H51=0,0,L51/H51)</f>
        <v>-0.40875760964547375</v>
      </c>
      <c r="O51" s="10"/>
      <c r="P51" s="22">
        <f>SUM(OSRRefP22x_0)</f>
        <v>137695.78</v>
      </c>
      <c r="Q51" s="22"/>
      <c r="R51" s="32">
        <f t="shared" ref="R51:R62" si="17">IF(P$12=0,0,P51/P$12)</f>
        <v>5.6833702749964632E-2</v>
      </c>
      <c r="S51" s="22"/>
      <c r="T51" s="22">
        <f>SUM(OSRRefT22x_0)</f>
        <v>197875.90481090773</v>
      </c>
      <c r="U51" s="22"/>
      <c r="V51" s="32">
        <f t="shared" ref="V51:V62" si="18">IF(T$12=0,0,T51/T$12)</f>
        <v>9.3969592130338606E-2</v>
      </c>
      <c r="W51" s="4"/>
      <c r="X51" s="22">
        <f t="shared" ref="X51:X62" si="19">+P51-T51</f>
        <v>-60180.124810907728</v>
      </c>
      <c r="Y51" s="4"/>
      <c r="Z51" s="32">
        <f t="shared" ref="Z51:Z62" si="20">IF(T51=0,0,X51/T51)</f>
        <v>-0.30413063616015545</v>
      </c>
    </row>
    <row r="52" spans="1:26" s="25" customFormat="1" outlineLevel="1" collapsed="1" x14ac:dyDescent="0.25">
      <c r="A52" s="27"/>
      <c r="B52" s="13" t="str">
        <f>CONCATENATE("     ","*Benefits                                         ")</f>
        <v xml:space="preserve">     *Benefits                                         </v>
      </c>
      <c r="C52" s="13"/>
      <c r="D52" s="1">
        <f>SUM(OSRRefD22_0x_0)</f>
        <v>3356.18</v>
      </c>
      <c r="E52" s="1"/>
      <c r="F52" s="5">
        <f t="shared" si="13"/>
        <v>8.3232926806766933E-3</v>
      </c>
      <c r="G52" s="1"/>
      <c r="H52" s="1">
        <f>SUM(OSRRefH22_0x_0)</f>
        <v>2941.9939285576902</v>
      </c>
      <c r="I52" s="1"/>
      <c r="J52" s="5">
        <f t="shared" si="14"/>
        <v>1.0846420447342733E-2</v>
      </c>
      <c r="K52" s="1"/>
      <c r="L52" s="1">
        <f t="shared" si="15"/>
        <v>414.18607144230964</v>
      </c>
      <c r="M52" s="1"/>
      <c r="N52" s="5">
        <f t="shared" si="16"/>
        <v>0.14078413535182377</v>
      </c>
      <c r="O52" s="13"/>
      <c r="P52" s="1">
        <f>SUM(OSRRefP22_0x_0)</f>
        <v>29578.5</v>
      </c>
      <c r="Q52" s="1"/>
      <c r="R52" s="5">
        <f t="shared" si="17"/>
        <v>1.2208476372985642E-2</v>
      </c>
      <c r="S52" s="1"/>
      <c r="T52" s="1">
        <f>SUM(OSRRefT22_0x_0)</f>
        <v>26572.974890907703</v>
      </c>
      <c r="U52" s="1"/>
      <c r="V52" s="5">
        <f t="shared" si="18"/>
        <v>1.2619280829439715E-2</v>
      </c>
      <c r="W52" s="1"/>
      <c r="X52" s="1">
        <f t="shared" si="19"/>
        <v>3005.5251090922975</v>
      </c>
      <c r="Y52" s="1"/>
      <c r="Z52" s="5">
        <f t="shared" si="20"/>
        <v>0.11310457791915041</v>
      </c>
    </row>
    <row r="53" spans="1:26" s="24" customFormat="1" hidden="1" outlineLevel="2" x14ac:dyDescent="0.25">
      <c r="A53" s="26"/>
      <c r="B53" s="11" t="str">
        <f>CONCATENATE("          ", "6111", " - ", "F.I.C.A.")</f>
        <v xml:space="preserve">          6111 - F.I.C.A.</v>
      </c>
      <c r="C53" s="11"/>
      <c r="D53" s="7">
        <v>675.75</v>
      </c>
      <c r="E53" s="2"/>
      <c r="F53" s="6">
        <f t="shared" si="13"/>
        <v>1.6758532107834726E-3</v>
      </c>
      <c r="G53" s="2"/>
      <c r="H53" s="7">
        <v>532.10352375000002</v>
      </c>
      <c r="I53" s="2"/>
      <c r="J53" s="6">
        <f t="shared" si="14"/>
        <v>1.9617370668519878E-3</v>
      </c>
      <c r="K53" s="2"/>
      <c r="L53" s="7">
        <f t="shared" si="15"/>
        <v>143.64647624999998</v>
      </c>
      <c r="M53" s="2"/>
      <c r="N53" s="6">
        <f t="shared" si="16"/>
        <v>0.26995964100679376</v>
      </c>
      <c r="O53" s="11"/>
      <c r="P53" s="7">
        <v>5413.83</v>
      </c>
      <c r="Q53" s="2"/>
      <c r="R53" s="6">
        <f t="shared" si="17"/>
        <v>2.2345492720172036E-3</v>
      </c>
      <c r="S53" s="2"/>
      <c r="T53" s="7">
        <v>5109.8545290000002</v>
      </c>
      <c r="U53" s="2"/>
      <c r="V53" s="6">
        <f t="shared" si="18"/>
        <v>2.426626659745914E-3</v>
      </c>
      <c r="W53" s="2"/>
      <c r="X53" s="7">
        <f t="shared" si="19"/>
        <v>303.97547099999974</v>
      </c>
      <c r="Y53" s="2"/>
      <c r="Z53" s="6">
        <f t="shared" si="20"/>
        <v>5.9488087043348341E-2</v>
      </c>
    </row>
    <row r="54" spans="1:26" s="24" customFormat="1" hidden="1" outlineLevel="2" x14ac:dyDescent="0.25">
      <c r="A54" s="26"/>
      <c r="B54" s="11" t="str">
        <f>CONCATENATE("          ", "6112", " - ", "COMPENSATION INSURANCE")</f>
        <v xml:space="preserve">          6112 - COMPENSATION INSURANCE</v>
      </c>
      <c r="C54" s="11"/>
      <c r="D54" s="7">
        <v>175.68</v>
      </c>
      <c r="E54" s="2"/>
      <c r="F54" s="6">
        <f t="shared" si="13"/>
        <v>4.3568463495440696E-4</v>
      </c>
      <c r="G54" s="2"/>
      <c r="H54" s="7">
        <v>259.15493750000002</v>
      </c>
      <c r="I54" s="2"/>
      <c r="J54" s="6">
        <f t="shared" si="14"/>
        <v>9.554416091225147E-4</v>
      </c>
      <c r="K54" s="2"/>
      <c r="L54" s="7">
        <f t="shared" si="15"/>
        <v>-83.47493750000001</v>
      </c>
      <c r="M54" s="2"/>
      <c r="N54" s="6">
        <f t="shared" si="16"/>
        <v>-0.32210436854979851</v>
      </c>
      <c r="O54" s="11"/>
      <c r="P54" s="7">
        <v>1534.43</v>
      </c>
      <c r="Q54" s="2"/>
      <c r="R54" s="6">
        <f t="shared" si="17"/>
        <v>6.3333341450717102E-4</v>
      </c>
      <c r="S54" s="2"/>
      <c r="T54" s="7">
        <v>2152.7957160000001</v>
      </c>
      <c r="U54" s="2"/>
      <c r="V54" s="6">
        <f t="shared" si="18"/>
        <v>1.0223444616249649E-3</v>
      </c>
      <c r="W54" s="2"/>
      <c r="X54" s="7">
        <f t="shared" si="19"/>
        <v>-618.36571600000002</v>
      </c>
      <c r="Y54" s="2"/>
      <c r="Z54" s="6">
        <f t="shared" si="20"/>
        <v>-0.28723845528128134</v>
      </c>
    </row>
    <row r="55" spans="1:26" s="24" customFormat="1" hidden="1" outlineLevel="2" x14ac:dyDescent="0.25">
      <c r="A55" s="26"/>
      <c r="B55" s="11" t="str">
        <f>CONCATENATE("          ", "6113", " - ", "GROUP INSURANCE")</f>
        <v xml:space="preserve">          6113 - GROUP INSURANCE</v>
      </c>
      <c r="C55" s="11"/>
      <c r="D55" s="7">
        <v>1053.8499999999999</v>
      </c>
      <c r="E55" s="2"/>
      <c r="F55" s="6">
        <f t="shared" si="13"/>
        <v>2.6135374120372363E-3</v>
      </c>
      <c r="G55" s="2"/>
      <c r="H55" s="7">
        <v>1099.8076923076901</v>
      </c>
      <c r="I55" s="2"/>
      <c r="J55" s="6">
        <f t="shared" si="14"/>
        <v>4.0547251053774692E-3</v>
      </c>
      <c r="K55" s="2"/>
      <c r="L55" s="7">
        <f t="shared" si="15"/>
        <v>-45.957692307690195</v>
      </c>
      <c r="M55" s="2"/>
      <c r="N55" s="6">
        <f t="shared" si="16"/>
        <v>-4.178702570379253E-2</v>
      </c>
      <c r="O55" s="11"/>
      <c r="P55" s="7">
        <v>10430.18</v>
      </c>
      <c r="Q55" s="2"/>
      <c r="R55" s="6">
        <f t="shared" si="17"/>
        <v>4.3050393392493665E-3</v>
      </c>
      <c r="S55" s="2"/>
      <c r="T55" s="7">
        <v>10077.307692307701</v>
      </c>
      <c r="U55" s="2"/>
      <c r="V55" s="6">
        <f t="shared" si="18"/>
        <v>4.7856281163843753E-3</v>
      </c>
      <c r="W55" s="2"/>
      <c r="X55" s="7">
        <f t="shared" si="19"/>
        <v>352.87230769229973</v>
      </c>
      <c r="Y55" s="2"/>
      <c r="Z55" s="6">
        <f t="shared" si="20"/>
        <v>3.5016526086789762E-2</v>
      </c>
    </row>
    <row r="56" spans="1:26" s="24" customFormat="1" hidden="1" outlineLevel="2" x14ac:dyDescent="0.25">
      <c r="A56" s="26"/>
      <c r="B56" s="11" t="str">
        <f>CONCATENATE("          ", "6114", " - ", "STATE UNEMPLOYMENT INSURANCE")</f>
        <v xml:space="preserve">          6114 - STATE UNEMPLOYMENT INSURANCE</v>
      </c>
      <c r="C56" s="11"/>
      <c r="D56" s="7">
        <v>24.69</v>
      </c>
      <c r="E56" s="2"/>
      <c r="F56" s="6">
        <f t="shared" si="13"/>
        <v>6.1230951941167503E-5</v>
      </c>
      <c r="G56" s="2"/>
      <c r="H56" s="7">
        <v>36.421774999999997</v>
      </c>
      <c r="I56" s="2"/>
      <c r="J56" s="6">
        <f t="shared" si="14"/>
        <v>1.3427828020100204E-4</v>
      </c>
      <c r="K56" s="2"/>
      <c r="L56" s="7">
        <f t="shared" si="15"/>
        <v>-11.731774999999995</v>
      </c>
      <c r="M56" s="2"/>
      <c r="N56" s="6">
        <f t="shared" si="16"/>
        <v>-0.32210882089079945</v>
      </c>
      <c r="O56" s="11"/>
      <c r="P56" s="7">
        <v>230.35</v>
      </c>
      <c r="Q56" s="2"/>
      <c r="R56" s="6">
        <f t="shared" si="17"/>
        <v>9.5076576990626375E-5</v>
      </c>
      <c r="S56" s="2"/>
      <c r="T56" s="7">
        <v>302.55507360000001</v>
      </c>
      <c r="U56" s="2"/>
      <c r="V56" s="6">
        <f t="shared" si="18"/>
        <v>1.4368084325540046E-4</v>
      </c>
      <c r="W56" s="2"/>
      <c r="X56" s="7">
        <f t="shared" si="19"/>
        <v>-72.20507360000002</v>
      </c>
      <c r="Y56" s="2"/>
      <c r="Z56" s="6">
        <f t="shared" si="20"/>
        <v>-0.23865100902409728</v>
      </c>
    </row>
    <row r="57" spans="1:26" s="24" customFormat="1" hidden="1" outlineLevel="2" x14ac:dyDescent="0.25">
      <c r="A57" s="26"/>
      <c r="B57" s="11" t="str">
        <f>CONCATENATE("          ", "6115", " - ", "P.E.R.S.")</f>
        <v xml:space="preserve">          6115 - P.E.R.S.</v>
      </c>
      <c r="C57" s="11"/>
      <c r="D57" s="7">
        <v>176.42</v>
      </c>
      <c r="E57" s="2"/>
      <c r="F57" s="6">
        <f t="shared" si="13"/>
        <v>4.3751982751967478E-4</v>
      </c>
      <c r="G57" s="2"/>
      <c r="H57" s="7">
        <v>245.34725</v>
      </c>
      <c r="I57" s="2"/>
      <c r="J57" s="6">
        <f t="shared" si="14"/>
        <v>9.0453600303788879E-4</v>
      </c>
      <c r="K57" s="2"/>
      <c r="L57" s="7">
        <f t="shared" si="15"/>
        <v>-68.927250000000015</v>
      </c>
      <c r="M57" s="2"/>
      <c r="N57" s="6">
        <f t="shared" si="16"/>
        <v>-0.28093752833993457</v>
      </c>
      <c r="O57" s="11"/>
      <c r="P57" s="7">
        <v>1940.62</v>
      </c>
      <c r="Q57" s="2"/>
      <c r="R57" s="6">
        <f t="shared" si="17"/>
        <v>8.0098765721532174E-4</v>
      </c>
      <c r="S57" s="2"/>
      <c r="T57" s="7">
        <v>2159.0558000000001</v>
      </c>
      <c r="U57" s="2"/>
      <c r="V57" s="6">
        <f t="shared" si="18"/>
        <v>1.0253173225235356E-3</v>
      </c>
      <c r="W57" s="2"/>
      <c r="X57" s="7">
        <f t="shared" si="19"/>
        <v>-218.4358000000002</v>
      </c>
      <c r="Y57" s="2"/>
      <c r="Z57" s="6">
        <f t="shared" si="20"/>
        <v>-0.10117191042491824</v>
      </c>
    </row>
    <row r="58" spans="1:26" s="24" customFormat="1" hidden="1" outlineLevel="2" x14ac:dyDescent="0.25">
      <c r="A58" s="26"/>
      <c r="B58" s="11" t="str">
        <f>CONCATENATE("          ", "6116", " - ", "EDUCATIONAL BENEFITS")</f>
        <v xml:space="preserve">          6116 - EDUCATIONAL BENEFITS</v>
      </c>
      <c r="C58" s="11"/>
      <c r="D58" s="7"/>
      <c r="E58" s="2"/>
      <c r="F58" s="6">
        <f t="shared" si="13"/>
        <v>0</v>
      </c>
      <c r="G58" s="2"/>
      <c r="H58" s="7">
        <v>0</v>
      </c>
      <c r="I58" s="2"/>
      <c r="J58" s="6">
        <f t="shared" si="14"/>
        <v>0</v>
      </c>
      <c r="K58" s="2"/>
      <c r="L58" s="7">
        <f t="shared" si="15"/>
        <v>0</v>
      </c>
      <c r="M58" s="2"/>
      <c r="N58" s="6">
        <f t="shared" si="16"/>
        <v>0</v>
      </c>
      <c r="O58" s="11"/>
      <c r="P58" s="7"/>
      <c r="Q58" s="2"/>
      <c r="R58" s="6">
        <f t="shared" si="17"/>
        <v>0</v>
      </c>
      <c r="S58" s="2"/>
      <c r="T58" s="7">
        <v>0</v>
      </c>
      <c r="U58" s="2"/>
      <c r="V58" s="6">
        <f t="shared" si="18"/>
        <v>0</v>
      </c>
      <c r="W58" s="2"/>
      <c r="X58" s="7">
        <f t="shared" si="19"/>
        <v>0</v>
      </c>
      <c r="Y58" s="2"/>
      <c r="Z58" s="6">
        <f t="shared" si="20"/>
        <v>0</v>
      </c>
    </row>
    <row r="59" spans="1:26" s="24" customFormat="1" hidden="1" outlineLevel="2" x14ac:dyDescent="0.25">
      <c r="A59" s="26"/>
      <c r="B59" s="11" t="str">
        <f>CONCATENATE("          ", "6117", " - ", "RETIREMENT STAFF HOURLY")</f>
        <v xml:space="preserve">          6117 - RETIREMENT STAFF HOURLY</v>
      </c>
      <c r="C59" s="11"/>
      <c r="D59" s="7">
        <v>174.9</v>
      </c>
      <c r="E59" s="2"/>
      <c r="F59" s="6">
        <f t="shared" si="13"/>
        <v>4.3375024279101646E-4</v>
      </c>
      <c r="G59" s="2"/>
      <c r="H59" s="7"/>
      <c r="I59" s="2"/>
      <c r="J59" s="6">
        <f t="shared" si="14"/>
        <v>0</v>
      </c>
      <c r="K59" s="2"/>
      <c r="L59" s="7">
        <f t="shared" si="15"/>
        <v>174.9</v>
      </c>
      <c r="M59" s="2"/>
      <c r="N59" s="6">
        <f t="shared" si="16"/>
        <v>0</v>
      </c>
      <c r="O59" s="11"/>
      <c r="P59" s="7">
        <v>1895.94</v>
      </c>
      <c r="Q59" s="2"/>
      <c r="R59" s="6">
        <f t="shared" si="17"/>
        <v>7.8254606199091897E-4</v>
      </c>
      <c r="S59" s="2"/>
      <c r="T59" s="7"/>
      <c r="U59" s="2"/>
      <c r="V59" s="6">
        <f t="shared" si="18"/>
        <v>0</v>
      </c>
      <c r="W59" s="2"/>
      <c r="X59" s="7">
        <f t="shared" si="19"/>
        <v>1895.94</v>
      </c>
      <c r="Y59" s="2"/>
      <c r="Z59" s="6">
        <f t="shared" si="20"/>
        <v>0</v>
      </c>
    </row>
    <row r="60" spans="1:26" s="24" customFormat="1" hidden="1" outlineLevel="2" x14ac:dyDescent="0.25">
      <c r="A60" s="26"/>
      <c r="B60" s="11" t="str">
        <f>CONCATENATE("          ", "6118", " - ", "VACATION")</f>
        <v xml:space="preserve">          6118 - VACATION</v>
      </c>
      <c r="C60" s="11"/>
      <c r="D60" s="7">
        <v>400.56</v>
      </c>
      <c r="E60" s="2"/>
      <c r="F60" s="6">
        <f t="shared" si="13"/>
        <v>9.9338477559959728E-4</v>
      </c>
      <c r="G60" s="2"/>
      <c r="H60" s="7">
        <v>243.43625</v>
      </c>
      <c r="I60" s="2"/>
      <c r="J60" s="6">
        <f t="shared" si="14"/>
        <v>8.9749060798330641E-4</v>
      </c>
      <c r="K60" s="2"/>
      <c r="L60" s="7">
        <f t="shared" si="15"/>
        <v>157.12375</v>
      </c>
      <c r="M60" s="2"/>
      <c r="N60" s="6">
        <f t="shared" si="16"/>
        <v>0.64544105489630244</v>
      </c>
      <c r="O60" s="11"/>
      <c r="P60" s="7">
        <v>2891.22</v>
      </c>
      <c r="Q60" s="2"/>
      <c r="R60" s="6">
        <f t="shared" si="17"/>
        <v>1.1933462163092633E-3</v>
      </c>
      <c r="S60" s="2"/>
      <c r="T60" s="7">
        <v>2142.239</v>
      </c>
      <c r="U60" s="2"/>
      <c r="V60" s="6">
        <f t="shared" si="18"/>
        <v>1.0173311665615573E-3</v>
      </c>
      <c r="W60" s="2"/>
      <c r="X60" s="7">
        <f t="shared" si="19"/>
        <v>748.98099999999977</v>
      </c>
      <c r="Y60" s="2"/>
      <c r="Z60" s="6">
        <f t="shared" si="20"/>
        <v>0.34962532191786244</v>
      </c>
    </row>
    <row r="61" spans="1:26" s="24" customFormat="1" hidden="1" outlineLevel="2" x14ac:dyDescent="0.25">
      <c r="A61" s="26"/>
      <c r="B61" s="11" t="str">
        <f>CONCATENATE("          ", "6119", " - ", "SICK LEAVE")</f>
        <v xml:space="preserve">          6119 - SICK LEAVE</v>
      </c>
      <c r="C61" s="11"/>
      <c r="D61" s="7">
        <v>401.45</v>
      </c>
      <c r="E61" s="2"/>
      <c r="F61" s="6">
        <f t="shared" si="13"/>
        <v>9.9559196665782485E-4</v>
      </c>
      <c r="G61" s="2"/>
      <c r="H61" s="7">
        <v>350.72250000000003</v>
      </c>
      <c r="I61" s="2"/>
      <c r="J61" s="6">
        <f t="shared" si="14"/>
        <v>1.2930290774624781E-3</v>
      </c>
      <c r="K61" s="2"/>
      <c r="L61" s="7">
        <f t="shared" si="15"/>
        <v>50.727499999999964</v>
      </c>
      <c r="M61" s="2"/>
      <c r="N61" s="6">
        <f t="shared" si="16"/>
        <v>0.14463714189993501</v>
      </c>
      <c r="O61" s="11"/>
      <c r="P61" s="7">
        <v>2888.63</v>
      </c>
      <c r="Q61" s="2"/>
      <c r="R61" s="6">
        <f t="shared" si="17"/>
        <v>1.192277198143838E-3</v>
      </c>
      <c r="S61" s="2"/>
      <c r="T61" s="7">
        <v>2879.1670800000002</v>
      </c>
      <c r="U61" s="2"/>
      <c r="V61" s="6">
        <f t="shared" si="18"/>
        <v>1.3672920734904149E-3</v>
      </c>
      <c r="W61" s="2"/>
      <c r="X61" s="7">
        <f t="shared" si="19"/>
        <v>9.46291999999994</v>
      </c>
      <c r="Y61" s="2"/>
      <c r="Z61" s="6">
        <f t="shared" si="20"/>
        <v>3.2866866482788278E-3</v>
      </c>
    </row>
    <row r="62" spans="1:26" s="24" customFormat="1" hidden="1" outlineLevel="2" x14ac:dyDescent="0.25">
      <c r="A62" s="26"/>
      <c r="B62" s="11" t="str">
        <f>CONCATENATE("          ", "6156", " - ", "EMPLOYEE MEALS")</f>
        <v xml:space="preserve">          6156 - EMPLOYEE MEALS</v>
      </c>
      <c r="C62" s="11"/>
      <c r="D62" s="7">
        <v>272.88</v>
      </c>
      <c r="E62" s="2"/>
      <c r="F62" s="6">
        <f t="shared" si="13"/>
        <v>6.7673965839229596E-4</v>
      </c>
      <c r="G62" s="2"/>
      <c r="H62" s="7">
        <v>175</v>
      </c>
      <c r="I62" s="2"/>
      <c r="J62" s="6">
        <f t="shared" si="14"/>
        <v>6.4518269730608571E-4</v>
      </c>
      <c r="K62" s="2"/>
      <c r="L62" s="7">
        <f t="shared" si="15"/>
        <v>97.88</v>
      </c>
      <c r="M62" s="2"/>
      <c r="N62" s="6">
        <f t="shared" si="16"/>
        <v>0.55931428571428565</v>
      </c>
      <c r="O62" s="11"/>
      <c r="P62" s="7">
        <v>2353.3000000000002</v>
      </c>
      <c r="Q62" s="2"/>
      <c r="R62" s="6">
        <f t="shared" si="17"/>
        <v>9.713206365619322E-4</v>
      </c>
      <c r="S62" s="2"/>
      <c r="T62" s="7">
        <v>1750</v>
      </c>
      <c r="U62" s="2"/>
      <c r="V62" s="6">
        <f t="shared" si="18"/>
        <v>8.3106018585355108E-4</v>
      </c>
      <c r="W62" s="2"/>
      <c r="X62" s="7">
        <f t="shared" si="19"/>
        <v>603.30000000000018</v>
      </c>
      <c r="Y62" s="2"/>
      <c r="Z62" s="6">
        <f t="shared" si="20"/>
        <v>0.34474285714285724</v>
      </c>
    </row>
    <row r="63" spans="1:26" s="25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8263.98</v>
      </c>
      <c r="E63" s="1"/>
      <c r="F63" s="5">
        <f t="shared" ref="F63:F73" si="21">IF(D$12=0,0,D63/D$12)</f>
        <v>2.0494587372327639E-2</v>
      </c>
      <c r="G63" s="1"/>
      <c r="H63" s="1">
        <f>SUM(OSRRefH22_1x_0)</f>
        <v>13414.216250000001</v>
      </c>
      <c r="I63" s="1"/>
      <c r="J63" s="5">
        <f t="shared" ref="J63:J73" si="22">IF(H$12=0,0,H63/H$12)</f>
        <v>4.9454972699555011E-2</v>
      </c>
      <c r="K63" s="1"/>
      <c r="L63" s="1">
        <f t="shared" ref="L63:L73" si="23">+D63-H63</f>
        <v>-5150.2362500000017</v>
      </c>
      <c r="M63" s="1"/>
      <c r="N63" s="5">
        <f t="shared" ref="N63:N73" si="24">IF(H63=0,0,L63/H63)</f>
        <v>-0.38393866283466255</v>
      </c>
      <c r="O63" s="13"/>
      <c r="P63" s="1">
        <f>SUM(OSRRefP22_1x_0)</f>
        <v>82074.94</v>
      </c>
      <c r="Q63" s="1"/>
      <c r="R63" s="5">
        <f t="shared" ref="R63:R73" si="25">IF(P$12=0,0,P63/P$12)</f>
        <v>3.3876294125943306E-2</v>
      </c>
      <c r="S63" s="1"/>
      <c r="T63" s="1">
        <f>SUM(OSRRefT22_1x_0)</f>
        <v>111345.92992</v>
      </c>
      <c r="U63" s="1"/>
      <c r="V63" s="5">
        <f t="shared" ref="V63:V73" si="26">IF(T$12=0,0,T63/T$12)</f>
        <v>5.287723955048667E-2</v>
      </c>
      <c r="W63" s="1"/>
      <c r="X63" s="1">
        <f t="shared" ref="X63:X73" si="27">+P63-T63</f>
        <v>-29270.989919999993</v>
      </c>
      <c r="Y63" s="1"/>
      <c r="Z63" s="5">
        <f t="shared" ref="Z63:Z73" si="28">IF(T63=0,0,X63/T63)</f>
        <v>-0.26288333970564226</v>
      </c>
    </row>
    <row r="64" spans="1:26" s="24" customFormat="1" hidden="1" outlineLevel="2" x14ac:dyDescent="0.25">
      <c r="A64" s="26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6">
        <f t="shared" si="21"/>
        <v>0</v>
      </c>
      <c r="G64" s="2"/>
      <c r="H64" s="7">
        <v>0</v>
      </c>
      <c r="I64" s="2"/>
      <c r="J64" s="6">
        <f t="shared" si="22"/>
        <v>0</v>
      </c>
      <c r="K64" s="2"/>
      <c r="L64" s="7">
        <f t="shared" si="23"/>
        <v>0</v>
      </c>
      <c r="M64" s="2"/>
      <c r="N64" s="6">
        <f t="shared" si="24"/>
        <v>0</v>
      </c>
      <c r="O64" s="11"/>
      <c r="P64" s="7"/>
      <c r="Q64" s="2"/>
      <c r="R64" s="6">
        <f t="shared" si="25"/>
        <v>0</v>
      </c>
      <c r="S64" s="2"/>
      <c r="T64" s="7">
        <v>0</v>
      </c>
      <c r="U64" s="2"/>
      <c r="V64" s="6">
        <f t="shared" si="26"/>
        <v>0</v>
      </c>
      <c r="W64" s="2"/>
      <c r="X64" s="7">
        <f t="shared" si="27"/>
        <v>0</v>
      </c>
      <c r="Y64" s="2"/>
      <c r="Z64" s="6">
        <f t="shared" si="28"/>
        <v>0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7">
        <v>2395.9899999999998</v>
      </c>
      <c r="E65" s="2"/>
      <c r="F65" s="6">
        <f t="shared" si="21"/>
        <v>5.942031127643496E-3</v>
      </c>
      <c r="G65" s="2"/>
      <c r="H65" s="7">
        <v>2710.2312499999998</v>
      </c>
      <c r="I65" s="2"/>
      <c r="J65" s="6">
        <f t="shared" si="22"/>
        <v>9.9919674754185388E-3</v>
      </c>
      <c r="K65" s="2"/>
      <c r="L65" s="7">
        <f t="shared" si="23"/>
        <v>-314.24125000000004</v>
      </c>
      <c r="M65" s="2"/>
      <c r="N65" s="6">
        <f t="shared" si="24"/>
        <v>-0.11594628687127714</v>
      </c>
      <c r="O65" s="11"/>
      <c r="P65" s="7">
        <v>23276.240000000002</v>
      </c>
      <c r="Q65" s="2"/>
      <c r="R65" s="6">
        <f t="shared" si="25"/>
        <v>9.6072291053279687E-3</v>
      </c>
      <c r="S65" s="2"/>
      <c r="T65" s="7">
        <v>23850.035</v>
      </c>
      <c r="U65" s="2"/>
      <c r="V65" s="6">
        <f t="shared" si="26"/>
        <v>1.1326179725550684E-2</v>
      </c>
      <c r="W65" s="2"/>
      <c r="X65" s="7">
        <f t="shared" si="27"/>
        <v>-573.79499999999825</v>
      </c>
      <c r="Y65" s="2"/>
      <c r="Z65" s="6">
        <f t="shared" si="28"/>
        <v>-2.4058455260128477E-2</v>
      </c>
    </row>
    <row r="66" spans="1:26" s="24" customFormat="1" hidden="1" outlineLevel="2" x14ac:dyDescent="0.25">
      <c r="A66" s="26"/>
      <c r="B66" s="11" t="str">
        <f>CONCATENATE("          ", "6003", " - ", "STAFF HOURLY-9 MONTH")</f>
        <v xml:space="preserve">          6003 - STAFF HOURLY-9 MONTH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6"/>
      <c r="B67" s="11" t="str">
        <f>CONCATENATE("          ", "6004", " - ", "STAFF HOURLY")</f>
        <v xml:space="preserve">          6004 - STAFF HOURLY</v>
      </c>
      <c r="C67" s="11"/>
      <c r="D67" s="7">
        <v>4790.5</v>
      </c>
      <c r="E67" s="2"/>
      <c r="F67" s="6">
        <f t="shared" si="21"/>
        <v>1.1880391870156458E-2</v>
      </c>
      <c r="G67" s="2"/>
      <c r="H67" s="7">
        <v>3860.15</v>
      </c>
      <c r="I67" s="2"/>
      <c r="J67" s="6">
        <f t="shared" si="22"/>
        <v>1.423143993717764E-2</v>
      </c>
      <c r="K67" s="2"/>
      <c r="L67" s="7">
        <f t="shared" si="23"/>
        <v>930.34999999999991</v>
      </c>
      <c r="M67" s="2"/>
      <c r="N67" s="6">
        <f t="shared" si="24"/>
        <v>0.24101395023509445</v>
      </c>
      <c r="O67" s="11"/>
      <c r="P67" s="7">
        <v>36510.660000000003</v>
      </c>
      <c r="Q67" s="2"/>
      <c r="R67" s="6">
        <f t="shared" si="25"/>
        <v>1.5069713811454671E-2</v>
      </c>
      <c r="S67" s="2"/>
      <c r="T67" s="7">
        <v>33969.32</v>
      </c>
      <c r="U67" s="2"/>
      <c r="V67" s="6">
        <f t="shared" si="26"/>
        <v>1.6131742510010712E-2</v>
      </c>
      <c r="W67" s="2"/>
      <c r="X67" s="7">
        <f t="shared" si="27"/>
        <v>2541.3400000000038</v>
      </c>
      <c r="Y67" s="2"/>
      <c r="Z67" s="6">
        <f t="shared" si="28"/>
        <v>7.4812801669271095E-2</v>
      </c>
    </row>
    <row r="68" spans="1:26" s="24" customFormat="1" hidden="1" outlineLevel="2" x14ac:dyDescent="0.25">
      <c r="A68" s="26"/>
      <c r="B68" s="11" t="str">
        <f>CONCATENATE("          ", "6005", " - ", "TEMPORARY WAGES-HOURLY")</f>
        <v xml:space="preserve">          6005 - TEMPORARY WAGES-HOURLY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6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6"/>
      <c r="B70" s="11" t="str">
        <f>CONCATENATE("          ", "6007", " - ", "STUDENT HOURLY")</f>
        <v xml:space="preserve">          6007 - STUDENT HOURLY</v>
      </c>
      <c r="C70" s="11"/>
      <c r="D70" s="7">
        <v>1077.49</v>
      </c>
      <c r="E70" s="2"/>
      <c r="F70" s="6">
        <f t="shared" si="21"/>
        <v>2.6721643745276865E-3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1077.49</v>
      </c>
      <c r="M70" s="2"/>
      <c r="N70" s="6">
        <f t="shared" si="24"/>
        <v>0</v>
      </c>
      <c r="O70" s="11"/>
      <c r="P70" s="7">
        <v>22288.04</v>
      </c>
      <c r="Q70" s="2"/>
      <c r="R70" s="6">
        <f t="shared" si="25"/>
        <v>9.1993512091606711E-3</v>
      </c>
      <c r="S70" s="2"/>
      <c r="T70" s="7">
        <v>5416.48</v>
      </c>
      <c r="U70" s="2"/>
      <c r="V70" s="6">
        <f t="shared" si="26"/>
        <v>2.5722405002697383E-3</v>
      </c>
      <c r="W70" s="2"/>
      <c r="X70" s="7">
        <f t="shared" si="27"/>
        <v>16871.560000000001</v>
      </c>
      <c r="Y70" s="2"/>
      <c r="Z70" s="6">
        <f t="shared" si="28"/>
        <v>3.1148568812217534</v>
      </c>
    </row>
    <row r="71" spans="1:26" s="24" customFormat="1" hidden="1" outlineLevel="2" x14ac:dyDescent="0.25">
      <c r="A71" s="26"/>
      <c r="B71" s="11" t="str">
        <f>CONCATENATE("          ", "6008", " - ", "STUDENT HOURLY-FICA EXEMPT")</f>
        <v xml:space="preserve">          6008 - STUDENT HOURLY-FICA EXEMPT</v>
      </c>
      <c r="C71" s="11"/>
      <c r="D71" s="7"/>
      <c r="E71" s="2"/>
      <c r="F71" s="6">
        <f t="shared" si="21"/>
        <v>0</v>
      </c>
      <c r="G71" s="2"/>
      <c r="H71" s="7">
        <v>6843.835</v>
      </c>
      <c r="I71" s="2"/>
      <c r="J71" s="6">
        <f t="shared" si="22"/>
        <v>2.5231565286958829E-2</v>
      </c>
      <c r="K71" s="2"/>
      <c r="L71" s="7">
        <f t="shared" si="23"/>
        <v>-6843.835</v>
      </c>
      <c r="M71" s="2"/>
      <c r="N71" s="6">
        <f t="shared" si="24"/>
        <v>-1</v>
      </c>
      <c r="O71" s="11"/>
      <c r="P71" s="7"/>
      <c r="Q71" s="2"/>
      <c r="R71" s="6">
        <f t="shared" si="25"/>
        <v>0</v>
      </c>
      <c r="S71" s="2"/>
      <c r="T71" s="7">
        <v>48110.094920000003</v>
      </c>
      <c r="U71" s="2"/>
      <c r="V71" s="6">
        <f t="shared" si="26"/>
        <v>2.2847076814655535E-2</v>
      </c>
      <c r="W71" s="2"/>
      <c r="X71" s="7">
        <f t="shared" si="27"/>
        <v>-48110.094920000003</v>
      </c>
      <c r="Y71" s="2"/>
      <c r="Z71" s="6">
        <f t="shared" si="28"/>
        <v>-1</v>
      </c>
    </row>
    <row r="72" spans="1:26" s="24" customFormat="1" hidden="1" outlineLevel="2" x14ac:dyDescent="0.25">
      <c r="A72" s="26"/>
      <c r="B72" s="11" t="str">
        <f>CONCATENATE("          ", "6009", " - ", "TEMPORARY-SEASONAL")</f>
        <v xml:space="preserve">          6009 - TEMPORARY-SEASONAL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6"/>
      <c r="B73" s="11" t="str">
        <f>CONCATENATE("          ", "6010", " - ", "GRATUITY")</f>
        <v xml:space="preserve">          6010 - GRATUITY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/>
      <c r="Q73" s="2"/>
      <c r="R73" s="6">
        <f t="shared" si="25"/>
        <v>0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0</v>
      </c>
      <c r="Y73" s="2"/>
      <c r="Z73" s="6">
        <f t="shared" si="28"/>
        <v>0</v>
      </c>
    </row>
    <row r="74" spans="1:26" s="25" customFormat="1" outlineLevel="1" collapsed="1" x14ac:dyDescent="0.25">
      <c r="A74" s="27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26.46</v>
      </c>
      <c r="E74" s="1"/>
      <c r="F74" s="5">
        <f t="shared" ref="F74:F84" si="29">IF(D$12=0,0,D74/D$12)</f>
        <v>6.5620534158092024E-5</v>
      </c>
      <c r="G74" s="1"/>
      <c r="H74" s="1">
        <f>SUM(OSRRefH22_2x_0)</f>
        <v>200</v>
      </c>
      <c r="I74" s="1"/>
      <c r="J74" s="5">
        <f t="shared" ref="J74:J84" si="30">IF(H$12=0,0,H74/H$12)</f>
        <v>7.3735165406409793E-4</v>
      </c>
      <c r="K74" s="1"/>
      <c r="L74" s="1">
        <f t="shared" ref="L74:L84" si="31">+D74-H74</f>
        <v>-173.54</v>
      </c>
      <c r="M74" s="1"/>
      <c r="N74" s="5">
        <f t="shared" ref="N74:N84" si="32">IF(H74=0,0,L74/H74)</f>
        <v>-0.86769999999999992</v>
      </c>
      <c r="O74" s="13"/>
      <c r="P74" s="1">
        <f>SUM(OSRRefP22_2x_0)</f>
        <v>625.39</v>
      </c>
      <c r="Q74" s="1"/>
      <c r="R74" s="5">
        <f t="shared" ref="R74:R84" si="33">IF(P$12=0,0,P74/P$12)</f>
        <v>2.5812867585920486E-4</v>
      </c>
      <c r="S74" s="1"/>
      <c r="T74" s="1">
        <f>SUM(OSRRefT22_2x_0)</f>
        <v>2000</v>
      </c>
      <c r="U74" s="1"/>
      <c r="V74" s="5">
        <f t="shared" ref="V74:V84" si="34">IF(T$12=0,0,T74/T$12)</f>
        <v>9.4978306954691548E-4</v>
      </c>
      <c r="W74" s="1"/>
      <c r="X74" s="1">
        <f t="shared" ref="X74:X84" si="35">+P74-T74</f>
        <v>-1374.6100000000001</v>
      </c>
      <c r="Y74" s="1"/>
      <c r="Z74" s="5">
        <f t="shared" ref="Z74:Z84" si="36">IF(T74=0,0,X74/T74)</f>
        <v>-0.68730500000000005</v>
      </c>
    </row>
    <row r="75" spans="1:26" s="24" customFormat="1" hidden="1" outlineLevel="2" x14ac:dyDescent="0.25">
      <c r="A75" s="26"/>
      <c r="B75" s="11" t="str">
        <f>CONCATENATE("          ", "6362", " - ", "ADVERTISING EXPENSE")</f>
        <v xml:space="preserve">          6362 - ADVERTISING EXPENSE</v>
      </c>
      <c r="C75" s="11"/>
      <c r="D75" s="7">
        <v>26.46</v>
      </c>
      <c r="E75" s="2"/>
      <c r="F75" s="6">
        <f t="shared" si="29"/>
        <v>6.5620534158092024E-5</v>
      </c>
      <c r="G75" s="2"/>
      <c r="H75" s="7">
        <v>200</v>
      </c>
      <c r="I75" s="2"/>
      <c r="J75" s="6">
        <f t="shared" si="30"/>
        <v>7.3735165406409793E-4</v>
      </c>
      <c r="K75" s="2"/>
      <c r="L75" s="7">
        <f t="shared" si="31"/>
        <v>-173.54</v>
      </c>
      <c r="M75" s="2"/>
      <c r="N75" s="6">
        <f t="shared" si="32"/>
        <v>-0.86769999999999992</v>
      </c>
      <c r="O75" s="11"/>
      <c r="P75" s="7">
        <v>625.39</v>
      </c>
      <c r="Q75" s="2"/>
      <c r="R75" s="6">
        <f t="shared" si="33"/>
        <v>2.5812867585920486E-4</v>
      </c>
      <c r="S75" s="2"/>
      <c r="T75" s="7">
        <v>2000</v>
      </c>
      <c r="U75" s="2"/>
      <c r="V75" s="6">
        <f t="shared" si="34"/>
        <v>9.4978306954691548E-4</v>
      </c>
      <c r="W75" s="2"/>
      <c r="X75" s="7">
        <f t="shared" si="35"/>
        <v>-1374.6100000000001</v>
      </c>
      <c r="Y75" s="2"/>
      <c r="Z75" s="6">
        <f t="shared" si="36"/>
        <v>-0.68730500000000005</v>
      </c>
    </row>
    <row r="76" spans="1:26" s="25" customFormat="1" outlineLevel="1" collapsed="1" x14ac:dyDescent="0.25">
      <c r="A76" s="27"/>
      <c r="B76" s="13" t="str">
        <f>CONCATENATE("     ","Depreciation                                      ")</f>
        <v xml:space="preserve">     Depreciation                                      </v>
      </c>
      <c r="C76" s="13"/>
      <c r="D76" s="1">
        <f>SUM(OSRRefD22_3x_0)</f>
        <v>280.44</v>
      </c>
      <c r="E76" s="1"/>
      <c r="F76" s="5">
        <f t="shared" si="29"/>
        <v>6.9548838243746513E-4</v>
      </c>
      <c r="G76" s="1"/>
      <c r="H76" s="1">
        <f>SUM(OSRRefH22_3x_0)</f>
        <v>300</v>
      </c>
      <c r="I76" s="1"/>
      <c r="J76" s="5">
        <f t="shared" si="30"/>
        <v>1.106027481096147E-3</v>
      </c>
      <c r="K76" s="1"/>
      <c r="L76" s="1">
        <f t="shared" si="31"/>
        <v>-19.560000000000002</v>
      </c>
      <c r="M76" s="1"/>
      <c r="N76" s="5">
        <f t="shared" si="32"/>
        <v>-6.5200000000000008E-2</v>
      </c>
      <c r="O76" s="13"/>
      <c r="P76" s="1">
        <f>SUM(OSRRefP22_3x_0)</f>
        <v>2804.4</v>
      </c>
      <c r="Q76" s="1"/>
      <c r="R76" s="5">
        <f t="shared" si="33"/>
        <v>1.1575114066095622E-3</v>
      </c>
      <c r="S76" s="1"/>
      <c r="T76" s="1">
        <f>SUM(OSRRefT22_3x_0)</f>
        <v>3000</v>
      </c>
      <c r="U76" s="1"/>
      <c r="V76" s="5">
        <f t="shared" si="34"/>
        <v>1.4246746043203732E-3</v>
      </c>
      <c r="W76" s="1"/>
      <c r="X76" s="1">
        <f t="shared" si="35"/>
        <v>-195.59999999999991</v>
      </c>
      <c r="Y76" s="1"/>
      <c r="Z76" s="5">
        <f t="shared" si="36"/>
        <v>-6.5199999999999966E-2</v>
      </c>
    </row>
    <row r="77" spans="1:26" s="24" customFormat="1" hidden="1" outlineLevel="2" x14ac:dyDescent="0.25">
      <c r="A77" s="26"/>
      <c r="B77" s="11" t="str">
        <f>CONCATENATE("          ", "6322", " - ", "EQUIPMENT DEPRECIATION EXPENSE")</f>
        <v xml:space="preserve">          6322 - EQUIPMENT DEPRECIATION EXPENSE</v>
      </c>
      <c r="C77" s="11"/>
      <c r="D77" s="7">
        <v>280.44</v>
      </c>
      <c r="E77" s="2"/>
      <c r="F77" s="6">
        <f t="shared" si="29"/>
        <v>6.9548838243746513E-4</v>
      </c>
      <c r="G77" s="2"/>
      <c r="H77" s="7">
        <v>300</v>
      </c>
      <c r="I77" s="2"/>
      <c r="J77" s="6">
        <f t="shared" si="30"/>
        <v>1.106027481096147E-3</v>
      </c>
      <c r="K77" s="2"/>
      <c r="L77" s="7">
        <f t="shared" si="31"/>
        <v>-19.560000000000002</v>
      </c>
      <c r="M77" s="2"/>
      <c r="N77" s="6">
        <f t="shared" si="32"/>
        <v>-6.5200000000000008E-2</v>
      </c>
      <c r="O77" s="11"/>
      <c r="P77" s="7">
        <v>2804.4</v>
      </c>
      <c r="Q77" s="2"/>
      <c r="R77" s="6">
        <f t="shared" si="33"/>
        <v>1.1575114066095622E-3</v>
      </c>
      <c r="S77" s="2"/>
      <c r="T77" s="7">
        <v>3000</v>
      </c>
      <c r="U77" s="2"/>
      <c r="V77" s="6">
        <f t="shared" si="34"/>
        <v>1.4246746043203732E-3</v>
      </c>
      <c r="W77" s="2"/>
      <c r="X77" s="7">
        <f t="shared" si="35"/>
        <v>-195.59999999999991</v>
      </c>
      <c r="Y77" s="2"/>
      <c r="Z77" s="6">
        <f t="shared" si="36"/>
        <v>-6.5199999999999966E-2</v>
      </c>
    </row>
    <row r="78" spans="1:26" s="25" customFormat="1" outlineLevel="1" collapsed="1" x14ac:dyDescent="0.25">
      <c r="A78" s="27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SUM(OSRRefD22_4x_0)</f>
        <v>0</v>
      </c>
      <c r="E78" s="1"/>
      <c r="F78" s="5">
        <f t="shared" si="29"/>
        <v>0</v>
      </c>
      <c r="G78" s="1"/>
      <c r="H78" s="1">
        <f>SUM(OSRRefH22_4x_0)</f>
        <v>4314</v>
      </c>
      <c r="I78" s="1"/>
      <c r="J78" s="5">
        <f t="shared" si="30"/>
        <v>1.5904675178162592E-2</v>
      </c>
      <c r="K78" s="1"/>
      <c r="L78" s="1">
        <f t="shared" si="31"/>
        <v>-4314</v>
      </c>
      <c r="M78" s="1"/>
      <c r="N78" s="5">
        <f t="shared" si="32"/>
        <v>-1</v>
      </c>
      <c r="O78" s="13"/>
      <c r="P78" s="1">
        <f>SUM(OSRRefP22_4x_0)</f>
        <v>0</v>
      </c>
      <c r="Q78" s="1"/>
      <c r="R78" s="5">
        <f t="shared" si="33"/>
        <v>0</v>
      </c>
      <c r="S78" s="1"/>
      <c r="T78" s="1">
        <f>SUM(OSRRefT22_4x_0)</f>
        <v>33492</v>
      </c>
      <c r="U78" s="1"/>
      <c r="V78" s="5">
        <f t="shared" si="34"/>
        <v>1.5905067282632648E-2</v>
      </c>
      <c r="W78" s="1"/>
      <c r="X78" s="1">
        <f t="shared" si="35"/>
        <v>-33492</v>
      </c>
      <c r="Y78" s="1"/>
      <c r="Z78" s="5">
        <f t="shared" si="36"/>
        <v>-1</v>
      </c>
    </row>
    <row r="79" spans="1:26" s="24" customFormat="1" hidden="1" outlineLevel="2" x14ac:dyDescent="0.25">
      <c r="A79" s="26"/>
      <c r="B79" s="11" t="str">
        <f>CONCATENATE("          ", "6382", " - ", "DISCOUNTS/MARK DOWNS")</f>
        <v xml:space="preserve">          6382 - DISCOUNTS/MARK DOWNS</v>
      </c>
      <c r="C79" s="11"/>
      <c r="D79" s="7">
        <v>0</v>
      </c>
      <c r="E79" s="2"/>
      <c r="F79" s="6">
        <f t="shared" si="29"/>
        <v>0</v>
      </c>
      <c r="G79" s="2"/>
      <c r="H79" s="7">
        <v>4314</v>
      </c>
      <c r="I79" s="2"/>
      <c r="J79" s="6">
        <f t="shared" si="30"/>
        <v>1.5904675178162592E-2</v>
      </c>
      <c r="K79" s="2"/>
      <c r="L79" s="7">
        <f t="shared" si="31"/>
        <v>-4314</v>
      </c>
      <c r="M79" s="2"/>
      <c r="N79" s="6">
        <f t="shared" si="32"/>
        <v>-1</v>
      </c>
      <c r="O79" s="11"/>
      <c r="P79" s="7">
        <v>0</v>
      </c>
      <c r="Q79" s="2"/>
      <c r="R79" s="6">
        <f t="shared" si="33"/>
        <v>0</v>
      </c>
      <c r="S79" s="2"/>
      <c r="T79" s="7">
        <v>33492</v>
      </c>
      <c r="U79" s="2"/>
      <c r="V79" s="6">
        <f t="shared" si="34"/>
        <v>1.5905067282632648E-2</v>
      </c>
      <c r="W79" s="2"/>
      <c r="X79" s="7">
        <f t="shared" si="35"/>
        <v>-33492</v>
      </c>
      <c r="Y79" s="2"/>
      <c r="Z79" s="6">
        <f t="shared" si="36"/>
        <v>-1</v>
      </c>
    </row>
    <row r="80" spans="1:26" s="25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SUM(OSRRefD22_5x_0)</f>
        <v>0</v>
      </c>
      <c r="E80" s="1"/>
      <c r="F80" s="5">
        <f t="shared" si="29"/>
        <v>0</v>
      </c>
      <c r="G80" s="1"/>
      <c r="H80" s="1">
        <f>SUM(OSRRefH22_5x_0)</f>
        <v>20</v>
      </c>
      <c r="I80" s="1"/>
      <c r="J80" s="5">
        <f t="shared" si="30"/>
        <v>7.3735165406409799E-5</v>
      </c>
      <c r="K80" s="1"/>
      <c r="L80" s="1">
        <f t="shared" si="31"/>
        <v>-20</v>
      </c>
      <c r="M80" s="1"/>
      <c r="N80" s="5">
        <f t="shared" si="32"/>
        <v>-1</v>
      </c>
      <c r="O80" s="13"/>
      <c r="P80" s="1">
        <f>SUM(OSRRefP22_5x_0)</f>
        <v>0</v>
      </c>
      <c r="Q80" s="1"/>
      <c r="R80" s="5">
        <f t="shared" si="33"/>
        <v>0</v>
      </c>
      <c r="S80" s="1"/>
      <c r="T80" s="1">
        <f>SUM(OSRRefT22_5x_0)</f>
        <v>200</v>
      </c>
      <c r="U80" s="1"/>
      <c r="V80" s="5">
        <f t="shared" si="34"/>
        <v>9.4978306954691548E-5</v>
      </c>
      <c r="W80" s="1"/>
      <c r="X80" s="1">
        <f t="shared" si="35"/>
        <v>-200</v>
      </c>
      <c r="Y80" s="1"/>
      <c r="Z80" s="5">
        <f t="shared" si="36"/>
        <v>-1</v>
      </c>
    </row>
    <row r="81" spans="1:26" s="24" customFormat="1" hidden="1" outlineLevel="2" x14ac:dyDescent="0.25">
      <c r="A81" s="26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>
        <v>20</v>
      </c>
      <c r="I81" s="2"/>
      <c r="J81" s="6">
        <f t="shared" si="30"/>
        <v>7.3735165406409799E-5</v>
      </c>
      <c r="K81" s="2"/>
      <c r="L81" s="7">
        <f t="shared" si="31"/>
        <v>-20</v>
      </c>
      <c r="M81" s="2"/>
      <c r="N81" s="6">
        <f t="shared" si="32"/>
        <v>-1</v>
      </c>
      <c r="O81" s="11"/>
      <c r="P81" s="7"/>
      <c r="Q81" s="2"/>
      <c r="R81" s="6">
        <f t="shared" si="33"/>
        <v>0</v>
      </c>
      <c r="S81" s="2"/>
      <c r="T81" s="7">
        <v>200</v>
      </c>
      <c r="U81" s="2"/>
      <c r="V81" s="6">
        <f t="shared" si="34"/>
        <v>9.4978306954691548E-5</v>
      </c>
      <c r="W81" s="2"/>
      <c r="X81" s="7">
        <f t="shared" si="35"/>
        <v>-200</v>
      </c>
      <c r="Y81" s="2"/>
      <c r="Z81" s="6">
        <f t="shared" si="36"/>
        <v>-1</v>
      </c>
    </row>
    <row r="82" spans="1:26" s="25" customFormat="1" outlineLevel="1" collapsed="1" x14ac:dyDescent="0.25">
      <c r="A82" s="27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SUM(OSRRefD22_6x_0)</f>
        <v>26.99</v>
      </c>
      <c r="E82" s="1"/>
      <c r="F82" s="5">
        <f t="shared" si="29"/>
        <v>6.693492883321632E-5</v>
      </c>
      <c r="G82" s="1"/>
      <c r="H82" s="1">
        <f>SUM(OSRRefH22_6x_0)</f>
        <v>15</v>
      </c>
      <c r="I82" s="1"/>
      <c r="J82" s="5">
        <f t="shared" si="30"/>
        <v>5.5301374054807349E-5</v>
      </c>
      <c r="K82" s="1"/>
      <c r="L82" s="1">
        <f t="shared" si="31"/>
        <v>11.989999999999998</v>
      </c>
      <c r="M82" s="1"/>
      <c r="N82" s="5">
        <f t="shared" si="32"/>
        <v>0.79933333333333323</v>
      </c>
      <c r="O82" s="13"/>
      <c r="P82" s="1">
        <f>SUM(OSRRefP22_6x_0)</f>
        <v>1641.28</v>
      </c>
      <c r="Q82" s="1"/>
      <c r="R82" s="5">
        <f t="shared" si="33"/>
        <v>6.7743557318504565E-4</v>
      </c>
      <c r="S82" s="1"/>
      <c r="T82" s="1">
        <f>SUM(OSRRefT22_6x_0)</f>
        <v>150</v>
      </c>
      <c r="U82" s="1"/>
      <c r="V82" s="5">
        <f t="shared" si="34"/>
        <v>7.1233730216018661E-5</v>
      </c>
      <c r="W82" s="1"/>
      <c r="X82" s="1">
        <f t="shared" si="35"/>
        <v>1491.28</v>
      </c>
      <c r="Y82" s="1"/>
      <c r="Z82" s="5">
        <f t="shared" si="36"/>
        <v>9.941866666666666</v>
      </c>
    </row>
    <row r="83" spans="1:26" s="24" customFormat="1" hidden="1" outlineLevel="2" x14ac:dyDescent="0.25">
      <c r="A83" s="26"/>
      <c r="B83" s="11" t="str">
        <f>CONCATENATE("          ", "6305", " - ", "FREIGHT OUT")</f>
        <v xml:space="preserve">          6305 - FREIGHT OUT</v>
      </c>
      <c r="C83" s="11"/>
      <c r="D83" s="7">
        <v>26.99</v>
      </c>
      <c r="E83" s="2"/>
      <c r="F83" s="6">
        <f t="shared" si="29"/>
        <v>6.693492883321632E-5</v>
      </c>
      <c r="G83" s="2"/>
      <c r="H83" s="7">
        <v>15</v>
      </c>
      <c r="I83" s="2"/>
      <c r="J83" s="6">
        <f t="shared" si="30"/>
        <v>5.5301374054807349E-5</v>
      </c>
      <c r="K83" s="2"/>
      <c r="L83" s="7">
        <f t="shared" si="31"/>
        <v>11.989999999999998</v>
      </c>
      <c r="M83" s="2"/>
      <c r="N83" s="6">
        <f t="shared" si="32"/>
        <v>0.79933333333333323</v>
      </c>
      <c r="O83" s="11"/>
      <c r="P83" s="7">
        <v>1628.68</v>
      </c>
      <c r="Q83" s="2"/>
      <c r="R83" s="6">
        <f t="shared" si="33"/>
        <v>6.7223494427216574E-4</v>
      </c>
      <c r="S83" s="2"/>
      <c r="T83" s="7">
        <v>150</v>
      </c>
      <c r="U83" s="2"/>
      <c r="V83" s="6">
        <f t="shared" si="34"/>
        <v>7.1233730216018661E-5</v>
      </c>
      <c r="W83" s="2"/>
      <c r="X83" s="7">
        <f t="shared" si="35"/>
        <v>1478.68</v>
      </c>
      <c r="Y83" s="2"/>
      <c r="Z83" s="6">
        <f t="shared" si="36"/>
        <v>9.8578666666666663</v>
      </c>
    </row>
    <row r="84" spans="1:26" s="24" customFormat="1" hidden="1" outlineLevel="2" x14ac:dyDescent="0.25">
      <c r="A84" s="26"/>
      <c r="B84" s="11" t="str">
        <f>CONCATENATE("          ", "6307", " - ", "POSTAGE")</f>
        <v xml:space="preserve">          6307 - POSTAGE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12.6</v>
      </c>
      <c r="Q84" s="2"/>
      <c r="R84" s="6">
        <f t="shared" si="33"/>
        <v>5.2006289128799322E-6</v>
      </c>
      <c r="S84" s="2"/>
      <c r="T84" s="7"/>
      <c r="U84" s="2"/>
      <c r="V84" s="6">
        <f t="shared" si="34"/>
        <v>0</v>
      </c>
      <c r="W84" s="2"/>
      <c r="X84" s="7">
        <f t="shared" si="35"/>
        <v>12.6</v>
      </c>
      <c r="Y84" s="2"/>
      <c r="Z84" s="6">
        <f t="shared" si="36"/>
        <v>0</v>
      </c>
    </row>
    <row r="85" spans="1:26" s="25" customFormat="1" outlineLevel="1" collapsed="1" x14ac:dyDescent="0.25">
      <c r="A85" s="27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SUM(OSRRefD22_7x_0)</f>
        <v>0</v>
      </c>
      <c r="E85" s="1"/>
      <c r="F85" s="5">
        <f t="shared" ref="F85:F91" si="37">IF(D$12=0,0,D85/D$12)</f>
        <v>0</v>
      </c>
      <c r="G85" s="1"/>
      <c r="H85" s="1">
        <f>SUM(OSRRefH22_7x_0)</f>
        <v>30</v>
      </c>
      <c r="I85" s="1"/>
      <c r="J85" s="5">
        <f t="shared" ref="J85:J91" si="38">IF(H$12=0,0,H85/H$12)</f>
        <v>1.106027481096147E-4</v>
      </c>
      <c r="K85" s="1"/>
      <c r="L85" s="1">
        <f t="shared" ref="L85:L91" si="39">+D85-H85</f>
        <v>-30</v>
      </c>
      <c r="M85" s="1"/>
      <c r="N85" s="5">
        <f t="shared" ref="N85:N91" si="40">IF(H85=0,0,L85/H85)</f>
        <v>-1</v>
      </c>
      <c r="O85" s="13"/>
      <c r="P85" s="1">
        <f>SUM(OSRRefP22_7x_0)</f>
        <v>-30.15</v>
      </c>
      <c r="Q85" s="1"/>
      <c r="R85" s="5">
        <f t="shared" ref="R85:R91" si="41">IF(P$12=0,0,P85/P$12)</f>
        <v>-1.2444362041534123E-5</v>
      </c>
      <c r="S85" s="1"/>
      <c r="T85" s="1">
        <f>SUM(OSRRefT22_7x_0)</f>
        <v>300</v>
      </c>
      <c r="U85" s="1"/>
      <c r="V85" s="5">
        <f t="shared" ref="V85:V91" si="42">IF(T$12=0,0,T85/T$12)</f>
        <v>1.4246746043203732E-4</v>
      </c>
      <c r="W85" s="1"/>
      <c r="X85" s="1">
        <f t="shared" ref="X85:X91" si="43">+P85-T85</f>
        <v>-330.15</v>
      </c>
      <c r="Y85" s="1"/>
      <c r="Z85" s="5">
        <f t="shared" ref="Z85:Z91" si="44">IF(T85=0,0,X85/T85)</f>
        <v>-1.1005</v>
      </c>
    </row>
    <row r="86" spans="1:26" s="24" customFormat="1" hidden="1" outlineLevel="2" x14ac:dyDescent="0.25">
      <c r="A86" s="26"/>
      <c r="B86" s="11" t="str">
        <f>CONCATENATE("          ", "6279", " - ", "GENERAL EXPENSE")</f>
        <v xml:space="preserve">          6279 - GENERAL EXPENSE</v>
      </c>
      <c r="C86" s="11"/>
      <c r="D86" s="7"/>
      <c r="E86" s="2"/>
      <c r="F86" s="6">
        <f t="shared" si="37"/>
        <v>0</v>
      </c>
      <c r="G86" s="2"/>
      <c r="H86" s="7">
        <v>30</v>
      </c>
      <c r="I86" s="2"/>
      <c r="J86" s="6">
        <f t="shared" si="38"/>
        <v>1.106027481096147E-4</v>
      </c>
      <c r="K86" s="2"/>
      <c r="L86" s="7">
        <f t="shared" si="39"/>
        <v>-30</v>
      </c>
      <c r="M86" s="2"/>
      <c r="N86" s="6">
        <f t="shared" si="40"/>
        <v>-1</v>
      </c>
      <c r="O86" s="11"/>
      <c r="P86" s="7">
        <v>-30.15</v>
      </c>
      <c r="Q86" s="2"/>
      <c r="R86" s="6">
        <f t="shared" si="41"/>
        <v>-1.2444362041534123E-5</v>
      </c>
      <c r="S86" s="2"/>
      <c r="T86" s="7">
        <v>300</v>
      </c>
      <c r="U86" s="2"/>
      <c r="V86" s="6">
        <f t="shared" si="42"/>
        <v>1.4246746043203732E-4</v>
      </c>
      <c r="W86" s="2"/>
      <c r="X86" s="7">
        <f t="shared" si="43"/>
        <v>-330.15</v>
      </c>
      <c r="Y86" s="2"/>
      <c r="Z86" s="6">
        <f t="shared" si="44"/>
        <v>-1.1005</v>
      </c>
    </row>
    <row r="87" spans="1:26" s="25" customFormat="1" outlineLevel="1" collapsed="1" x14ac:dyDescent="0.25">
      <c r="A87" s="27"/>
      <c r="B87" s="13" t="str">
        <f>CONCATENATE("     ","Inventory Adjustment                              ")</f>
        <v xml:space="preserve">     Inventory Adjustment                              </v>
      </c>
      <c r="C87" s="13"/>
      <c r="D87" s="1">
        <f>SUM(OSRRefD22_8x_0)</f>
        <v>1250</v>
      </c>
      <c r="E87" s="1"/>
      <c r="F87" s="5">
        <f t="shared" si="37"/>
        <v>3.0999874413308783E-3</v>
      </c>
      <c r="G87" s="1"/>
      <c r="H87" s="1">
        <f>SUM(OSRRefH22_8x_0)</f>
        <v>1250</v>
      </c>
      <c r="I87" s="1"/>
      <c r="J87" s="5">
        <f t="shared" si="38"/>
        <v>4.6084478379006125E-3</v>
      </c>
      <c r="K87" s="1"/>
      <c r="L87" s="1">
        <f t="shared" si="39"/>
        <v>0</v>
      </c>
      <c r="M87" s="1"/>
      <c r="N87" s="5">
        <f t="shared" si="40"/>
        <v>0</v>
      </c>
      <c r="O87" s="13"/>
      <c r="P87" s="1">
        <f>SUM(OSRRefP22_8x_0)</f>
        <v>12500</v>
      </c>
      <c r="Q87" s="1"/>
      <c r="R87" s="5">
        <f t="shared" si="41"/>
        <v>5.1593540802380286E-3</v>
      </c>
      <c r="S87" s="1"/>
      <c r="T87" s="1">
        <f>SUM(OSRRefT22_8x_0)</f>
        <v>12500</v>
      </c>
      <c r="U87" s="1"/>
      <c r="V87" s="5">
        <f t="shared" si="42"/>
        <v>5.9361441846682217E-3</v>
      </c>
      <c r="W87" s="1"/>
      <c r="X87" s="1">
        <f t="shared" si="43"/>
        <v>0</v>
      </c>
      <c r="Y87" s="1"/>
      <c r="Z87" s="5">
        <f t="shared" si="44"/>
        <v>0</v>
      </c>
    </row>
    <row r="88" spans="1:26" s="24" customFormat="1" hidden="1" outlineLevel="2" x14ac:dyDescent="0.25">
      <c r="A88" s="26"/>
      <c r="B88" s="11" t="str">
        <f>CONCATENATE("          ", "6408", " - ", "INVENTORY ADJUSTMENT")</f>
        <v xml:space="preserve">          6408 - INVENTORY ADJUSTMENT</v>
      </c>
      <c r="C88" s="11"/>
      <c r="D88" s="7">
        <v>1250</v>
      </c>
      <c r="E88" s="2"/>
      <c r="F88" s="6">
        <f t="shared" si="37"/>
        <v>3.0999874413308783E-3</v>
      </c>
      <c r="G88" s="2"/>
      <c r="H88" s="7">
        <v>1250</v>
      </c>
      <c r="I88" s="2"/>
      <c r="J88" s="6">
        <f t="shared" si="38"/>
        <v>4.6084478379006125E-3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>
        <v>12500</v>
      </c>
      <c r="Q88" s="2"/>
      <c r="R88" s="6">
        <f t="shared" si="41"/>
        <v>5.1593540802380286E-3</v>
      </c>
      <c r="S88" s="2"/>
      <c r="T88" s="7">
        <v>12500</v>
      </c>
      <c r="U88" s="2"/>
      <c r="V88" s="6">
        <f t="shared" si="42"/>
        <v>5.9361441846682217E-3</v>
      </c>
      <c r="W88" s="2"/>
      <c r="X88" s="7">
        <f t="shared" si="43"/>
        <v>0</v>
      </c>
      <c r="Y88" s="2"/>
      <c r="Z88" s="6">
        <f t="shared" si="44"/>
        <v>0</v>
      </c>
    </row>
    <row r="89" spans="1:26" s="25" customFormat="1" outlineLevel="1" collapsed="1" x14ac:dyDescent="0.25">
      <c r="A89" s="27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SUM(OSRRefD22_9x_0)</f>
        <v>0</v>
      </c>
      <c r="E89" s="1"/>
      <c r="F89" s="5">
        <f t="shared" si="37"/>
        <v>0</v>
      </c>
      <c r="G89" s="1"/>
      <c r="H89" s="1">
        <f>SUM(OSRRefH22_9x_0)</f>
        <v>20</v>
      </c>
      <c r="I89" s="1"/>
      <c r="J89" s="5">
        <f t="shared" si="38"/>
        <v>7.3735165406409799E-5</v>
      </c>
      <c r="K89" s="1"/>
      <c r="L89" s="1">
        <f t="shared" si="39"/>
        <v>-20</v>
      </c>
      <c r="M89" s="1"/>
      <c r="N89" s="5">
        <f t="shared" si="40"/>
        <v>-1</v>
      </c>
      <c r="O89" s="13"/>
      <c r="P89" s="1">
        <f>SUM(OSRRefP22_9x_0)</f>
        <v>1550</v>
      </c>
      <c r="Q89" s="1"/>
      <c r="R89" s="5">
        <f t="shared" si="41"/>
        <v>6.3975990594951555E-4</v>
      </c>
      <c r="S89" s="1"/>
      <c r="T89" s="1">
        <f>SUM(OSRRefT22_9x_0)</f>
        <v>205</v>
      </c>
      <c r="U89" s="1"/>
      <c r="V89" s="5">
        <f t="shared" si="42"/>
        <v>9.7352764628558832E-5</v>
      </c>
      <c r="W89" s="1"/>
      <c r="X89" s="1">
        <f t="shared" si="43"/>
        <v>1345</v>
      </c>
      <c r="Y89" s="1"/>
      <c r="Z89" s="5">
        <f t="shared" si="44"/>
        <v>6.5609756097560972</v>
      </c>
    </row>
    <row r="90" spans="1:26" s="24" customFormat="1" hidden="1" outlineLevel="2" x14ac:dyDescent="0.25">
      <c r="A90" s="26"/>
      <c r="B90" s="11" t="str">
        <f>CONCATENATE("          ", "6371", " - ", "COMPUTER SOFTWARE MAINTENANCE")</f>
        <v xml:space="preserve">          6371 - COMPUTER SOFTWARE MAINTENANCE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1550</v>
      </c>
      <c r="Q90" s="2"/>
      <c r="R90" s="6">
        <f t="shared" si="41"/>
        <v>6.3975990594951555E-4</v>
      </c>
      <c r="S90" s="2"/>
      <c r="T90" s="7"/>
      <c r="U90" s="2"/>
      <c r="V90" s="6">
        <f t="shared" si="42"/>
        <v>0</v>
      </c>
      <c r="W90" s="2"/>
      <c r="X90" s="7">
        <f t="shared" si="43"/>
        <v>1550</v>
      </c>
      <c r="Y90" s="2"/>
      <c r="Z90" s="6">
        <f t="shared" si="44"/>
        <v>0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7"/>
        <v>0</v>
      </c>
      <c r="G91" s="2"/>
      <c r="H91" s="7">
        <v>20</v>
      </c>
      <c r="I91" s="2"/>
      <c r="J91" s="6">
        <f t="shared" si="38"/>
        <v>7.3735165406409799E-5</v>
      </c>
      <c r="K91" s="2"/>
      <c r="L91" s="7">
        <f t="shared" si="39"/>
        <v>-20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205</v>
      </c>
      <c r="U91" s="2"/>
      <c r="V91" s="6">
        <f t="shared" si="42"/>
        <v>9.7352764628558832E-5</v>
      </c>
      <c r="W91" s="2"/>
      <c r="X91" s="7">
        <f t="shared" si="43"/>
        <v>-205</v>
      </c>
      <c r="Y91" s="2"/>
      <c r="Z91" s="6">
        <f t="shared" si="44"/>
        <v>-1</v>
      </c>
    </row>
    <row r="92" spans="1:26" s="25" customFormat="1" outlineLevel="1" collapsed="1" x14ac:dyDescent="0.25">
      <c r="A92" s="27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SUM(OSRRefD22_10x_0)</f>
        <v>142.22</v>
      </c>
      <c r="E92" s="1"/>
      <c r="F92" s="5">
        <f t="shared" ref="F92:F98" si="45">IF(D$12=0,0,D92/D$12)</f>
        <v>3.5270417112486196E-4</v>
      </c>
      <c r="G92" s="1"/>
      <c r="H92" s="1">
        <f>SUM(OSRRefH22_10x_0)</f>
        <v>0</v>
      </c>
      <c r="I92" s="1"/>
      <c r="J92" s="5">
        <f t="shared" ref="J92:J98" si="46">IF(H$12=0,0,H92/H$12)</f>
        <v>0</v>
      </c>
      <c r="K92" s="1"/>
      <c r="L92" s="1">
        <f t="shared" ref="L92:L98" si="47">+D92-H92</f>
        <v>142.22</v>
      </c>
      <c r="M92" s="1"/>
      <c r="N92" s="5">
        <f t="shared" ref="N92:N98" si="48">IF(H92=0,0,L92/H92)</f>
        <v>0</v>
      </c>
      <c r="O92" s="13"/>
      <c r="P92" s="1">
        <f>SUM(OSRRefP22_10x_0)</f>
        <v>142.22</v>
      </c>
      <c r="Q92" s="1"/>
      <c r="R92" s="5">
        <f t="shared" ref="R92:R98" si="49">IF(P$12=0,0,P92/P$12)</f>
        <v>5.8701066983316191E-5</v>
      </c>
      <c r="S92" s="1"/>
      <c r="T92" s="1">
        <f>SUM(OSRRefT22_10x_0)</f>
        <v>0</v>
      </c>
      <c r="U92" s="1"/>
      <c r="V92" s="5">
        <f t="shared" ref="V92:V98" si="50">IF(T$12=0,0,T92/T$12)</f>
        <v>0</v>
      </c>
      <c r="W92" s="1"/>
      <c r="X92" s="1">
        <f t="shared" ref="X92:X98" si="51">+P92-T92</f>
        <v>142.22</v>
      </c>
      <c r="Y92" s="1"/>
      <c r="Z92" s="5">
        <f t="shared" ref="Z92:Z98" si="52">IF(T92=0,0,X92/T92)</f>
        <v>0</v>
      </c>
    </row>
    <row r="93" spans="1:26" s="24" customFormat="1" hidden="1" outlineLevel="2" x14ac:dyDescent="0.25">
      <c r="A93" s="26"/>
      <c r="B93" s="11" t="str">
        <f>CONCATENATE("          ", "6275", " - ", "SUBSCRIPTIONS")</f>
        <v xml:space="preserve">          6275 - SUBSCRIPTIONS</v>
      </c>
      <c r="C93" s="11"/>
      <c r="D93" s="7">
        <v>142.22</v>
      </c>
      <c r="E93" s="2"/>
      <c r="F93" s="6">
        <f t="shared" si="45"/>
        <v>3.5270417112486196E-4</v>
      </c>
      <c r="G93" s="2"/>
      <c r="H93" s="7"/>
      <c r="I93" s="2"/>
      <c r="J93" s="6">
        <f t="shared" si="46"/>
        <v>0</v>
      </c>
      <c r="K93" s="2"/>
      <c r="L93" s="7">
        <f t="shared" si="47"/>
        <v>142.22</v>
      </c>
      <c r="M93" s="2"/>
      <c r="N93" s="6">
        <f t="shared" si="48"/>
        <v>0</v>
      </c>
      <c r="O93" s="11"/>
      <c r="P93" s="7">
        <v>142.22</v>
      </c>
      <c r="Q93" s="2"/>
      <c r="R93" s="6">
        <f t="shared" si="49"/>
        <v>5.8701066983316191E-5</v>
      </c>
      <c r="S93" s="2"/>
      <c r="T93" s="7"/>
      <c r="U93" s="2"/>
      <c r="V93" s="6">
        <f t="shared" si="50"/>
        <v>0</v>
      </c>
      <c r="W93" s="2"/>
      <c r="X93" s="7">
        <f t="shared" si="51"/>
        <v>142.22</v>
      </c>
      <c r="Y93" s="2"/>
      <c r="Z93" s="6">
        <f t="shared" si="52"/>
        <v>0</v>
      </c>
    </row>
    <row r="94" spans="1:26" s="25" customFormat="1" outlineLevel="1" collapsed="1" x14ac:dyDescent="0.25">
      <c r="A94" s="27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SUM(OSRRefD22_11x_0)</f>
        <v>19.559999999999999</v>
      </c>
      <c r="E94" s="1"/>
      <c r="F94" s="5">
        <f t="shared" si="45"/>
        <v>4.8508603481945579E-5</v>
      </c>
      <c r="G94" s="1"/>
      <c r="H94" s="1">
        <f>SUM(OSRRefH22_11x_0)</f>
        <v>310</v>
      </c>
      <c r="I94" s="1"/>
      <c r="J94" s="5">
        <f t="shared" si="46"/>
        <v>1.1428950637993518E-3</v>
      </c>
      <c r="K94" s="1"/>
      <c r="L94" s="1">
        <f t="shared" si="47"/>
        <v>-290.44</v>
      </c>
      <c r="M94" s="1"/>
      <c r="N94" s="5">
        <f t="shared" si="48"/>
        <v>-0.93690322580645158</v>
      </c>
      <c r="O94" s="13"/>
      <c r="P94" s="1">
        <f>SUM(OSRRefP22_11x_0)</f>
        <v>3831.65</v>
      </c>
      <c r="Q94" s="1"/>
      <c r="R94" s="5">
        <f t="shared" si="49"/>
        <v>1.5815071249235234E-3</v>
      </c>
      <c r="S94" s="1"/>
      <c r="T94" s="1">
        <f>SUM(OSRRefT22_11x_0)</f>
        <v>3100</v>
      </c>
      <c r="U94" s="1"/>
      <c r="V94" s="5">
        <f t="shared" si="50"/>
        <v>1.472163757797719E-3</v>
      </c>
      <c r="W94" s="1"/>
      <c r="X94" s="1">
        <f t="shared" si="51"/>
        <v>731.65000000000009</v>
      </c>
      <c r="Y94" s="1"/>
      <c r="Z94" s="5">
        <f t="shared" si="52"/>
        <v>0.2360161290322581</v>
      </c>
    </row>
    <row r="95" spans="1:26" s="24" customFormat="1" hidden="1" outlineLevel="2" x14ac:dyDescent="0.25">
      <c r="A95" s="26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1733.49</v>
      </c>
      <c r="Q95" s="2"/>
      <c r="R95" s="6">
        <f t="shared" si="49"/>
        <v>7.1549509636414552E-4</v>
      </c>
      <c r="S95" s="2"/>
      <c r="T95" s="7"/>
      <c r="U95" s="2"/>
      <c r="V95" s="6">
        <f t="shared" si="50"/>
        <v>0</v>
      </c>
      <c r="W95" s="2"/>
      <c r="X95" s="7">
        <f t="shared" si="51"/>
        <v>1733.49</v>
      </c>
      <c r="Y95" s="2"/>
      <c r="Z95" s="6">
        <f t="shared" si="52"/>
        <v>0</v>
      </c>
    </row>
    <row r="96" spans="1:26" s="24" customFormat="1" hidden="1" outlineLevel="2" x14ac:dyDescent="0.25">
      <c r="A96" s="26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45"/>
        <v>0</v>
      </c>
      <c r="G96" s="2"/>
      <c r="H96" s="7"/>
      <c r="I96" s="2"/>
      <c r="J96" s="6">
        <f t="shared" si="46"/>
        <v>0</v>
      </c>
      <c r="K96" s="2"/>
      <c r="L96" s="7">
        <f t="shared" si="47"/>
        <v>0</v>
      </c>
      <c r="M96" s="2"/>
      <c r="N96" s="6">
        <f t="shared" si="48"/>
        <v>0</v>
      </c>
      <c r="O96" s="11"/>
      <c r="P96" s="7">
        <v>668.12</v>
      </c>
      <c r="Q96" s="2"/>
      <c r="R96" s="6">
        <f t="shared" si="49"/>
        <v>2.7576541184709053E-4</v>
      </c>
      <c r="S96" s="2"/>
      <c r="T96" s="7"/>
      <c r="U96" s="2"/>
      <c r="V96" s="6">
        <f t="shared" si="50"/>
        <v>0</v>
      </c>
      <c r="W96" s="2"/>
      <c r="X96" s="7">
        <f t="shared" si="51"/>
        <v>668.12</v>
      </c>
      <c r="Y96" s="2"/>
      <c r="Z96" s="6">
        <f t="shared" si="52"/>
        <v>0</v>
      </c>
    </row>
    <row r="97" spans="1:26" s="24" customFormat="1" hidden="1" outlineLevel="2" x14ac:dyDescent="0.25">
      <c r="A97" s="26"/>
      <c r="B97" s="11" t="str">
        <f>CONCATENATE("          ", "6241", " - ", "OFFICE EXPENSE")</f>
        <v xml:space="preserve">          6241 - OFFICE EXPENSE</v>
      </c>
      <c r="C97" s="11"/>
      <c r="D97" s="7">
        <v>19.559999999999999</v>
      </c>
      <c r="E97" s="2"/>
      <c r="F97" s="6">
        <f t="shared" si="45"/>
        <v>4.8508603481945579E-5</v>
      </c>
      <c r="G97" s="2"/>
      <c r="H97" s="7">
        <v>110</v>
      </c>
      <c r="I97" s="2"/>
      <c r="J97" s="6">
        <f t="shared" si="46"/>
        <v>4.0554340973525388E-4</v>
      </c>
      <c r="K97" s="2"/>
      <c r="L97" s="7">
        <f t="shared" si="47"/>
        <v>-90.44</v>
      </c>
      <c r="M97" s="2"/>
      <c r="N97" s="6">
        <f t="shared" si="48"/>
        <v>-0.82218181818181812</v>
      </c>
      <c r="O97" s="11"/>
      <c r="P97" s="7">
        <v>1430.04</v>
      </c>
      <c r="Q97" s="2"/>
      <c r="R97" s="6">
        <f t="shared" si="49"/>
        <v>5.9024661671228714E-4</v>
      </c>
      <c r="S97" s="2"/>
      <c r="T97" s="7">
        <v>1100</v>
      </c>
      <c r="U97" s="2"/>
      <c r="V97" s="6">
        <f t="shared" si="50"/>
        <v>5.2238068825080349E-4</v>
      </c>
      <c r="W97" s="2"/>
      <c r="X97" s="7">
        <f t="shared" si="51"/>
        <v>330.03999999999996</v>
      </c>
      <c r="Y97" s="2"/>
      <c r="Z97" s="6">
        <f t="shared" si="52"/>
        <v>0.3000363636363636</v>
      </c>
    </row>
    <row r="98" spans="1:26" s="24" customFormat="1" hidden="1" outlineLevel="2" x14ac:dyDescent="0.25">
      <c r="A98" s="26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45"/>
        <v>0</v>
      </c>
      <c r="G98" s="2"/>
      <c r="H98" s="7">
        <v>200</v>
      </c>
      <c r="I98" s="2"/>
      <c r="J98" s="6">
        <f t="shared" si="46"/>
        <v>7.3735165406409793E-4</v>
      </c>
      <c r="K98" s="2"/>
      <c r="L98" s="7">
        <f t="shared" si="47"/>
        <v>-200</v>
      </c>
      <c r="M98" s="2"/>
      <c r="N98" s="6">
        <f t="shared" si="48"/>
        <v>-1</v>
      </c>
      <c r="O98" s="11"/>
      <c r="P98" s="7"/>
      <c r="Q98" s="2"/>
      <c r="R98" s="6">
        <f t="shared" si="49"/>
        <v>0</v>
      </c>
      <c r="S98" s="2"/>
      <c r="T98" s="7">
        <v>2000</v>
      </c>
      <c r="U98" s="2"/>
      <c r="V98" s="6">
        <f t="shared" si="50"/>
        <v>9.4978306954691548E-4</v>
      </c>
      <c r="W98" s="2"/>
      <c r="X98" s="7">
        <f t="shared" si="51"/>
        <v>-2000</v>
      </c>
      <c r="Y98" s="2"/>
      <c r="Z98" s="6">
        <f t="shared" si="52"/>
        <v>-1</v>
      </c>
    </row>
    <row r="99" spans="1:26" s="25" customFormat="1" outlineLevel="1" collapsed="1" x14ac:dyDescent="0.25">
      <c r="A99" s="27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271.3</v>
      </c>
      <c r="E99" s="1"/>
      <c r="F99" s="5">
        <f t="shared" ref="F99:F102" si="53">IF(D$12=0,0,D99/D$12)</f>
        <v>6.7282127426645383E-4</v>
      </c>
      <c r="G99" s="1"/>
      <c r="H99" s="1">
        <f>SUM(OSRRefH22_12x_0)</f>
        <v>250</v>
      </c>
      <c r="I99" s="1"/>
      <c r="J99" s="5">
        <f t="shared" ref="J99:J102" si="54">IF(H$12=0,0,H99/H$12)</f>
        <v>9.216895675801225E-4</v>
      </c>
      <c r="K99" s="1"/>
      <c r="L99" s="1">
        <f t="shared" ref="L99:L102" si="55">+D99-H99</f>
        <v>21.300000000000011</v>
      </c>
      <c r="M99" s="1"/>
      <c r="N99" s="5">
        <f t="shared" ref="N99:N102" si="56">IF(H99=0,0,L99/H99)</f>
        <v>8.520000000000004E-2</v>
      </c>
      <c r="O99" s="13"/>
      <c r="P99" s="1">
        <f>SUM(OSRRefP22_12x_0)</f>
        <v>2877.55</v>
      </c>
      <c r="Q99" s="1"/>
      <c r="R99" s="5">
        <f t="shared" ref="R99:R102" si="57">IF(P$12=0,0,P99/P$12)</f>
        <v>1.1877039466871152E-3</v>
      </c>
      <c r="S99" s="1"/>
      <c r="T99" s="1">
        <f>SUM(OSRRefT22_12x_0)</f>
        <v>2510</v>
      </c>
      <c r="U99" s="1"/>
      <c r="V99" s="5">
        <f t="shared" ref="V99:V102" si="58">IF(T$12=0,0,T99/T$12)</f>
        <v>1.191977752281379E-3</v>
      </c>
      <c r="W99" s="1"/>
      <c r="X99" s="1">
        <f t="shared" ref="X99:X102" si="59">+P99-T99</f>
        <v>367.55000000000018</v>
      </c>
      <c r="Y99" s="1"/>
      <c r="Z99" s="5">
        <f t="shared" ref="Z99:Z102" si="60">IF(T99=0,0,X99/T99)</f>
        <v>0.14643426294820724</v>
      </c>
    </row>
    <row r="100" spans="1:26" s="24" customFormat="1" hidden="1" outlineLevel="2" x14ac:dyDescent="0.25">
      <c r="A100" s="26"/>
      <c r="B100" s="11" t="str">
        <f>CONCATENATE("          ", "6309", " - ", "TELEPHONE")</f>
        <v xml:space="preserve">          6309 - TELEPHONE</v>
      </c>
      <c r="C100" s="11"/>
      <c r="D100" s="7">
        <v>271.3</v>
      </c>
      <c r="E100" s="2"/>
      <c r="F100" s="6">
        <f t="shared" si="53"/>
        <v>6.7282127426645383E-4</v>
      </c>
      <c r="G100" s="2"/>
      <c r="H100" s="7">
        <v>250</v>
      </c>
      <c r="I100" s="2"/>
      <c r="J100" s="6">
        <f t="shared" si="54"/>
        <v>9.216895675801225E-4</v>
      </c>
      <c r="K100" s="2"/>
      <c r="L100" s="7">
        <f t="shared" si="55"/>
        <v>21.300000000000011</v>
      </c>
      <c r="M100" s="2"/>
      <c r="N100" s="6">
        <f t="shared" si="56"/>
        <v>8.520000000000004E-2</v>
      </c>
      <c r="O100" s="11"/>
      <c r="P100" s="7">
        <v>2877.55</v>
      </c>
      <c r="Q100" s="2"/>
      <c r="R100" s="6">
        <f t="shared" si="57"/>
        <v>1.1877039466871152E-3</v>
      </c>
      <c r="S100" s="2"/>
      <c r="T100" s="7">
        <v>2510</v>
      </c>
      <c r="U100" s="2"/>
      <c r="V100" s="6">
        <f t="shared" si="58"/>
        <v>1.191977752281379E-3</v>
      </c>
      <c r="W100" s="2"/>
      <c r="X100" s="7">
        <f t="shared" si="59"/>
        <v>367.55000000000018</v>
      </c>
      <c r="Y100" s="2"/>
      <c r="Z100" s="6">
        <f t="shared" si="60"/>
        <v>0.14643426294820724</v>
      </c>
    </row>
    <row r="101" spans="1:26" s="25" customFormat="1" outlineLevel="1" collapsed="1" x14ac:dyDescent="0.25">
      <c r="A101" s="27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0</v>
      </c>
      <c r="E101" s="1"/>
      <c r="F101" s="5">
        <f t="shared" si="53"/>
        <v>0</v>
      </c>
      <c r="G101" s="1"/>
      <c r="H101" s="1">
        <f>SUM(OSRRefH22_13x_0)</f>
        <v>0</v>
      </c>
      <c r="I101" s="1"/>
      <c r="J101" s="5">
        <f t="shared" si="54"/>
        <v>0</v>
      </c>
      <c r="K101" s="1"/>
      <c r="L101" s="1">
        <f t="shared" si="55"/>
        <v>0</v>
      </c>
      <c r="M101" s="1"/>
      <c r="N101" s="5">
        <f t="shared" si="56"/>
        <v>0</v>
      </c>
      <c r="O101" s="13"/>
      <c r="P101" s="1">
        <f>SUM(OSRRefP22_13x_0)</f>
        <v>100</v>
      </c>
      <c r="Q101" s="1"/>
      <c r="R101" s="5">
        <f t="shared" si="57"/>
        <v>4.1274832641904228E-5</v>
      </c>
      <c r="S101" s="1"/>
      <c r="T101" s="1">
        <f>SUM(OSRRefT22_13x_0)</f>
        <v>2500</v>
      </c>
      <c r="U101" s="1"/>
      <c r="V101" s="5">
        <f t="shared" si="58"/>
        <v>1.1872288369336444E-3</v>
      </c>
      <c r="W101" s="1"/>
      <c r="X101" s="1">
        <f t="shared" si="59"/>
        <v>-2400</v>
      </c>
      <c r="Y101" s="1"/>
      <c r="Z101" s="5">
        <f t="shared" si="60"/>
        <v>-0.96</v>
      </c>
    </row>
    <row r="102" spans="1:26" s="24" customFormat="1" hidden="1" outlineLevel="2" x14ac:dyDescent="0.25">
      <c r="A102" s="26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53"/>
        <v>0</v>
      </c>
      <c r="G102" s="2"/>
      <c r="H102" s="7"/>
      <c r="I102" s="2"/>
      <c r="J102" s="6">
        <f t="shared" si="54"/>
        <v>0</v>
      </c>
      <c r="K102" s="2"/>
      <c r="L102" s="7">
        <f t="shared" si="55"/>
        <v>0</v>
      </c>
      <c r="M102" s="2"/>
      <c r="N102" s="6">
        <f t="shared" si="56"/>
        <v>0</v>
      </c>
      <c r="O102" s="11"/>
      <c r="P102" s="7">
        <v>100</v>
      </c>
      <c r="Q102" s="2"/>
      <c r="R102" s="6">
        <f t="shared" si="57"/>
        <v>4.1274832641904228E-5</v>
      </c>
      <c r="S102" s="2"/>
      <c r="T102" s="7">
        <v>2500</v>
      </c>
      <c r="U102" s="2"/>
      <c r="V102" s="6">
        <f t="shared" si="58"/>
        <v>1.1872288369336444E-3</v>
      </c>
      <c r="W102" s="2"/>
      <c r="X102" s="7">
        <f t="shared" si="59"/>
        <v>-2400</v>
      </c>
      <c r="Y102" s="2"/>
      <c r="Z102" s="6">
        <f t="shared" si="60"/>
        <v>-0.96</v>
      </c>
    </row>
    <row r="103" spans="1:26" s="61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293</v>
      </c>
      <c r="C104" s="10"/>
      <c r="D104" s="4">
        <f>SUM(OSRRefD25x_0)</f>
        <v>-23103.62</v>
      </c>
      <c r="E104" s="4"/>
      <c r="F104" s="12">
        <f t="shared" ref="F104:F106" si="61">IF(D$12=0,0,D104/D$12)</f>
        <v>-5.7296745479424718E-2</v>
      </c>
      <c r="G104" s="4"/>
      <c r="H104" s="4">
        <f>SUM(OSRRefH25x_0)</f>
        <v>2157</v>
      </c>
      <c r="I104" s="4"/>
      <c r="J104" s="12">
        <f t="shared" ref="J104:J106" si="62">IF(H$12=0,0,H104/H$12)</f>
        <v>7.9523375890812962E-3</v>
      </c>
      <c r="K104" s="4"/>
      <c r="L104" s="4">
        <f t="shared" ref="L104:L106" si="63">+D104-H104</f>
        <v>-25260.62</v>
      </c>
      <c r="M104" s="4"/>
      <c r="N104" s="12">
        <f t="shared" ref="N104:N106" si="64">IF(H104=0,0,L104/H104)</f>
        <v>-11.710996754751969</v>
      </c>
      <c r="O104" s="10"/>
      <c r="P104" s="4">
        <f>SUM(OSRRefP25x_0)</f>
        <v>3736.26</v>
      </c>
      <c r="Q104" s="4"/>
      <c r="R104" s="12">
        <f t="shared" ref="R104:R106" si="65">IF(P$12=0,0,P104/P$12)</f>
        <v>1.5421350620664109E-3</v>
      </c>
      <c r="S104" s="4"/>
      <c r="T104" s="4">
        <f>SUM(OSRRefT25x_0)</f>
        <v>16747</v>
      </c>
      <c r="U104" s="4"/>
      <c r="V104" s="12">
        <f t="shared" ref="V104:V106" si="66">IF(T$12=0,0,T104/T$12)</f>
        <v>7.9530085328510976E-3</v>
      </c>
      <c r="W104" s="4"/>
      <c r="X104" s="4">
        <f t="shared" ref="X104:X106" si="67">+P104-T104</f>
        <v>-13010.74</v>
      </c>
      <c r="Y104" s="4"/>
      <c r="Z104" s="12">
        <f t="shared" ref="Z104:Z106" si="68">IF(T104=0,0,X104/T104)</f>
        <v>-0.77689974323759481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--1700.99</f>
        <v>1700.99</v>
      </c>
      <c r="E105" s="2"/>
      <c r="F105" s="19">
        <f t="shared" si="61"/>
        <v>4.218438110263528E-3</v>
      </c>
      <c r="G105" s="2"/>
      <c r="H105" s="2"/>
      <c r="I105" s="2"/>
      <c r="J105" s="19">
        <f t="shared" si="62"/>
        <v>0</v>
      </c>
      <c r="K105" s="2"/>
      <c r="L105" s="2">
        <f t="shared" si="63"/>
        <v>1700.99</v>
      </c>
      <c r="M105" s="2"/>
      <c r="N105" s="19">
        <f t="shared" si="64"/>
        <v>0</v>
      </c>
      <c r="O105" s="11"/>
      <c r="P105" s="2">
        <f>--3315.96</f>
        <v>3315.96</v>
      </c>
      <c r="Q105" s="2"/>
      <c r="R105" s="19">
        <f t="shared" si="65"/>
        <v>1.3686569404724874E-3</v>
      </c>
      <c r="S105" s="2"/>
      <c r="T105" s="2"/>
      <c r="U105" s="2"/>
      <c r="V105" s="19">
        <f t="shared" si="66"/>
        <v>0</v>
      </c>
      <c r="W105" s="2"/>
      <c r="X105" s="2">
        <f t="shared" si="67"/>
        <v>3315.96</v>
      </c>
      <c r="Y105" s="2"/>
      <c r="Z105" s="19">
        <f t="shared" si="68"/>
        <v>0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-24804.61</f>
        <v>-24804.61</v>
      </c>
      <c r="E106" s="2"/>
      <c r="F106" s="19">
        <f t="shared" si="61"/>
        <v>-6.1515183589688251E-2</v>
      </c>
      <c r="G106" s="2"/>
      <c r="H106" s="2">
        <v>2157</v>
      </c>
      <c r="I106" s="2"/>
      <c r="J106" s="19">
        <f t="shared" si="62"/>
        <v>7.9523375890812962E-3</v>
      </c>
      <c r="K106" s="2"/>
      <c r="L106" s="2">
        <f t="shared" si="63"/>
        <v>-26961.61</v>
      </c>
      <c r="M106" s="2"/>
      <c r="N106" s="19">
        <f t="shared" si="64"/>
        <v>-12.499587389893371</v>
      </c>
      <c r="O106" s="11"/>
      <c r="P106" s="2">
        <f>--420.3</f>
        <v>420.3</v>
      </c>
      <c r="Q106" s="2"/>
      <c r="R106" s="19">
        <f t="shared" si="65"/>
        <v>1.7347812159392346E-4</v>
      </c>
      <c r="S106" s="2"/>
      <c r="T106" s="2">
        <v>16747</v>
      </c>
      <c r="U106" s="2"/>
      <c r="V106" s="19">
        <f t="shared" si="66"/>
        <v>7.9530085328510976E-3</v>
      </c>
      <c r="W106" s="2"/>
      <c r="X106" s="2">
        <f t="shared" si="67"/>
        <v>-16326.7</v>
      </c>
      <c r="Y106" s="2"/>
      <c r="Z106" s="19">
        <f t="shared" si="68"/>
        <v>-0.97490296769570672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277</v>
      </c>
      <c r="C108" s="28"/>
      <c r="D108" s="21">
        <f>+D49-D51+D104</f>
        <v>-2926.309999999994</v>
      </c>
      <c r="E108" s="14"/>
      <c r="F108" s="20">
        <f>IF(D$12=0,0,D108/D$12)</f>
        <v>-7.2572193995527551E-3</v>
      </c>
      <c r="G108" s="14"/>
      <c r="H108" s="21">
        <f>+H49-H51+H104</f>
        <v>-28900.210178557689</v>
      </c>
      <c r="I108" s="14"/>
      <c r="J108" s="20">
        <f>IF(H$12=0,0,H108/H$12)</f>
        <v>-0.10654808888979796</v>
      </c>
      <c r="K108" s="16"/>
      <c r="L108" s="21">
        <f>+D108-H108</f>
        <v>25973.900178557695</v>
      </c>
      <c r="M108" s="16"/>
      <c r="N108" s="20">
        <f>IF(H108=0,0,L108/H108)</f>
        <v>-0.89874433500932982</v>
      </c>
      <c r="O108" s="29"/>
      <c r="P108" s="21">
        <f>+P49-P51+P104</f>
        <v>54889.539999999593</v>
      </c>
      <c r="Q108" s="14"/>
      <c r="R108" s="20">
        <f>IF(P$12=0,0,P108/P$12)</f>
        <v>2.2655565772910908E-2</v>
      </c>
      <c r="S108" s="14"/>
      <c r="T108" s="21">
        <f>+T49-T51+T104</f>
        <v>212703.09518909227</v>
      </c>
      <c r="U108" s="14"/>
      <c r="V108" s="20">
        <f>IF(T$12=0,0,T108/T$12)</f>
        <v>0.10101089932541291</v>
      </c>
      <c r="W108" s="16"/>
      <c r="X108" s="21">
        <f>+P108-T108</f>
        <v>-157813.55518909267</v>
      </c>
      <c r="Y108" s="16"/>
      <c r="Z108" s="20">
        <f>IF(T108=0,0,X108/T108)</f>
        <v>-0.74194291836137594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128</v>
      </c>
      <c r="C110" s="10"/>
      <c r="D110" s="4">
        <v>90642.79</v>
      </c>
      <c r="E110" s="4"/>
      <c r="F110" s="12">
        <f>IF(D$12=0,0,D110/D$12)</f>
        <v>0.22479320851775367</v>
      </c>
      <c r="G110" s="4"/>
      <c r="H110" s="4">
        <v>57036</v>
      </c>
      <c r="I110" s="4"/>
      <c r="J110" s="12">
        <f>IF(H$12=0,0,H110/H$12)</f>
        <v>0.21027794470599948</v>
      </c>
      <c r="K110" s="4"/>
      <c r="L110" s="4">
        <f>+D110-H110</f>
        <v>33606.789999999994</v>
      </c>
      <c r="M110" s="4"/>
      <c r="N110" s="12">
        <f>IF(H110=0,0,L110/H110)</f>
        <v>0.58922066764850256</v>
      </c>
      <c r="O110" s="10"/>
      <c r="P110" s="4">
        <v>506856.23</v>
      </c>
      <c r="Q110" s="4"/>
      <c r="R110" s="12">
        <f>IF(P$12=0,0,P110/P$12)</f>
        <v>0.20920406066756514</v>
      </c>
      <c r="S110" s="4"/>
      <c r="T110" s="4">
        <v>381449</v>
      </c>
      <c r="U110" s="4"/>
      <c r="V110" s="12">
        <f>IF(T$12=0,0,T110/T$12)</f>
        <v>0.18114690104780068</v>
      </c>
      <c r="W110" s="4"/>
      <c r="X110" s="4">
        <f>+P110-T110</f>
        <v>125407.22999999998</v>
      </c>
      <c r="Y110" s="4"/>
      <c r="Z110" s="12">
        <f>IF(T110=0,0,X110/T110)</f>
        <v>0.32876539196589838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126</v>
      </c>
      <c r="C112" s="28"/>
      <c r="D112" s="31">
        <f>+D108-D110</f>
        <v>-93569.099999999991</v>
      </c>
      <c r="E112" s="14"/>
      <c r="F112" s="33">
        <f>IF(D$12=0,0,D112/D$12)</f>
        <v>-0.23205042791730643</v>
      </c>
      <c r="G112" s="14"/>
      <c r="H112" s="31">
        <f>+H108-H110</f>
        <v>-85936.210178557696</v>
      </c>
      <c r="I112" s="14"/>
      <c r="J112" s="33">
        <f>IF(H$12=0,0,H112/H$12)</f>
        <v>-0.31682603359579747</v>
      </c>
      <c r="K112" s="16"/>
      <c r="L112" s="31">
        <f>D112-H112</f>
        <v>-7632.8898214422952</v>
      </c>
      <c r="M112" s="16"/>
      <c r="N112" s="33">
        <f>IF(H112=0,0,L112/H112)</f>
        <v>8.8820414649223259E-2</v>
      </c>
      <c r="O112" s="29"/>
      <c r="P112" s="31">
        <f>+P108-P110</f>
        <v>-451966.69000000041</v>
      </c>
      <c r="Q112" s="14"/>
      <c r="R112" s="33">
        <f>IF(P$12=0,0,P112/P$12)</f>
        <v>-0.18654849489465425</v>
      </c>
      <c r="S112" s="14"/>
      <c r="T112" s="31">
        <f>+T108-T110</f>
        <v>-168745.90481090773</v>
      </c>
      <c r="U112" s="14"/>
      <c r="V112" s="33">
        <f>IF(T$12=0,0,T112/T$12)</f>
        <v>-8.0136001722387773E-2</v>
      </c>
      <c r="W112" s="16"/>
      <c r="X112" s="31">
        <f>P112-T112</f>
        <v>-283220.78518909268</v>
      </c>
      <c r="Y112" s="16"/>
      <c r="Z112" s="33">
        <f>IF(T112=0,0,X112/T112)</f>
        <v>1.6783861244304716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294</v>
      </c>
      <c r="C115" s="28"/>
      <c r="D115" s="34">
        <f>SUM(D112:D114)</f>
        <v>-93569.099999999991</v>
      </c>
      <c r="E115" s="14"/>
      <c r="F115" s="35">
        <f>IF(D$12=0,0,D115/D$12)</f>
        <v>-0.23205042791730643</v>
      </c>
      <c r="G115" s="14"/>
      <c r="H115" s="34">
        <f>SUM(H112:H114)</f>
        <v>-85936.210178557696</v>
      </c>
      <c r="I115" s="14"/>
      <c r="J115" s="35">
        <f>IF(H$12=0,0,H115/H$12)</f>
        <v>-0.31682603359579747</v>
      </c>
      <c r="K115" s="16"/>
      <c r="L115" s="34">
        <f>+D115-H115</f>
        <v>-7632.8898214422952</v>
      </c>
      <c r="M115" s="16"/>
      <c r="N115" s="35">
        <f>IF(H115=0,0,L115/H115)</f>
        <v>8.8820414649223259E-2</v>
      </c>
      <c r="O115" s="29"/>
      <c r="P115" s="34">
        <f>SUM(P112:P114)</f>
        <v>-451966.69000000041</v>
      </c>
      <c r="Q115" s="14"/>
      <c r="R115" s="35">
        <f>IF(P$12=0,0,P115/P$12)</f>
        <v>-0.18654849489465425</v>
      </c>
      <c r="S115" s="14"/>
      <c r="T115" s="34">
        <f>SUM(T112:T114)</f>
        <v>-168745.90481090773</v>
      </c>
      <c r="U115" s="14"/>
      <c r="V115" s="35">
        <f>IF(T$12=0,0,T115/T$12)</f>
        <v>-8.0136001722387773E-2</v>
      </c>
      <c r="W115" s="16"/>
      <c r="X115" s="34">
        <f>+P115-T115</f>
        <v>-283220.78518909268</v>
      </c>
      <c r="Y115" s="16"/>
      <c r="Z115" s="35">
        <f>IF(T115=0,0,X115/T115)</f>
        <v>1.6783861244304716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2">
        <v>44330.005817476849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 t="s">
        <v>56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5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403227.43999999994</v>
      </c>
      <c r="E12" s="4"/>
      <c r="F12" s="12"/>
      <c r="G12" s="4"/>
      <c r="H12" s="4">
        <f>SUM(OSRRefH13x_0)</f>
        <v>271241</v>
      </c>
      <c r="I12" s="4"/>
      <c r="J12" s="12"/>
      <c r="K12" s="4"/>
      <c r="L12" s="4">
        <f t="shared" ref="L12:L31" si="0">+D12-H12</f>
        <v>131986.43999999994</v>
      </c>
      <c r="M12" s="4"/>
      <c r="N12" s="12">
        <f t="shared" ref="N12:N31" si="1">IF(H12=0,0,L12/H12)</f>
        <v>0.4866020992401589</v>
      </c>
      <c r="O12" s="10"/>
      <c r="P12" s="4">
        <f>SUM(OSRRefP13x_0)</f>
        <v>2422783.8999999994</v>
      </c>
      <c r="Q12" s="4"/>
      <c r="R12" s="12"/>
      <c r="S12" s="4"/>
      <c r="T12" s="4">
        <f>SUM(OSRRefT13x_0)</f>
        <v>2105744</v>
      </c>
      <c r="U12" s="4"/>
      <c r="V12" s="12"/>
      <c r="W12" s="4"/>
      <c r="X12" s="4">
        <f t="shared" ref="X12:X31" si="2">+P12-T12</f>
        <v>317039.89999999944</v>
      </c>
      <c r="Y12" s="4"/>
      <c r="Z12" s="12">
        <f t="shared" ref="Z12:Z31" si="3">IF(T12=0,0,X12/T12)</f>
        <v>0.15055956469542331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-174.96</f>
        <v>-174.96</v>
      </c>
      <c r="E13" s="2"/>
      <c r="F13" s="19"/>
      <c r="G13" s="2"/>
      <c r="H13" s="2">
        <v>238485</v>
      </c>
      <c r="I13" s="2"/>
      <c r="J13" s="19"/>
      <c r="K13" s="2"/>
      <c r="L13" s="2">
        <f t="shared" si="0"/>
        <v>-238659.96</v>
      </c>
      <c r="M13" s="2"/>
      <c r="N13" s="19">
        <f t="shared" si="1"/>
        <v>-1.0007336310459778</v>
      </c>
      <c r="O13" s="11"/>
      <c r="P13" s="2">
        <f>-2908.11</f>
        <v>-2908.11</v>
      </c>
      <c r="Q13" s="2"/>
      <c r="R13" s="19"/>
      <c r="S13" s="2"/>
      <c r="T13" s="2">
        <v>1943263</v>
      </c>
      <c r="U13" s="2"/>
      <c r="V13" s="19"/>
      <c r="W13" s="2"/>
      <c r="X13" s="2">
        <f t="shared" si="2"/>
        <v>-1946171.11</v>
      </c>
      <c r="Y13" s="2"/>
      <c r="Z13" s="19">
        <f t="shared" si="3"/>
        <v>-1.001496508707262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--1628.82</f>
        <v>1628.82</v>
      </c>
      <c r="E14" s="2"/>
      <c r="F14" s="19"/>
      <c r="G14" s="2"/>
      <c r="H14" s="2"/>
      <c r="I14" s="2"/>
      <c r="J14" s="19"/>
      <c r="K14" s="2"/>
      <c r="L14" s="2">
        <f t="shared" si="0"/>
        <v>1628.82</v>
      </c>
      <c r="M14" s="2"/>
      <c r="N14" s="19">
        <f t="shared" si="1"/>
        <v>0</v>
      </c>
      <c r="O14" s="11"/>
      <c r="P14" s="2">
        <f>--62096.07</f>
        <v>62096.07</v>
      </c>
      <c r="Q14" s="2"/>
      <c r="R14" s="19"/>
      <c r="S14" s="2"/>
      <c r="T14" s="2"/>
      <c r="U14" s="2"/>
      <c r="V14" s="19"/>
      <c r="W14" s="2"/>
      <c r="X14" s="2">
        <f t="shared" si="2"/>
        <v>62096.07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--354181.27</f>
        <v>354181.27</v>
      </c>
      <c r="E15" s="2"/>
      <c r="F15" s="19"/>
      <c r="G15" s="2"/>
      <c r="H15" s="2"/>
      <c r="I15" s="2"/>
      <c r="J15" s="19"/>
      <c r="K15" s="2"/>
      <c r="L15" s="2">
        <f t="shared" si="0"/>
        <v>354181.27</v>
      </c>
      <c r="M15" s="2"/>
      <c r="N15" s="19">
        <f t="shared" si="1"/>
        <v>0</v>
      </c>
      <c r="O15" s="11"/>
      <c r="P15" s="2">
        <f>--2012047.63</f>
        <v>2012047.63</v>
      </c>
      <c r="Q15" s="2"/>
      <c r="R15" s="19"/>
      <c r="S15" s="2"/>
      <c r="T15" s="2"/>
      <c r="U15" s="2"/>
      <c r="V15" s="19"/>
      <c r="W15" s="2"/>
      <c r="X15" s="2">
        <f t="shared" si="2"/>
        <v>2012047.63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--7273.67</f>
        <v>7273.67</v>
      </c>
      <c r="E16" s="2"/>
      <c r="F16" s="19"/>
      <c r="G16" s="2"/>
      <c r="H16" s="2"/>
      <c r="I16" s="2"/>
      <c r="J16" s="19"/>
      <c r="K16" s="2"/>
      <c r="L16" s="2">
        <f t="shared" si="0"/>
        <v>7273.67</v>
      </c>
      <c r="M16" s="2"/>
      <c r="N16" s="19">
        <f t="shared" si="1"/>
        <v>0</v>
      </c>
      <c r="O16" s="11"/>
      <c r="P16" s="2">
        <f>--126932.94</f>
        <v>126932.94</v>
      </c>
      <c r="Q16" s="2"/>
      <c r="R16" s="19"/>
      <c r="S16" s="2"/>
      <c r="T16" s="2"/>
      <c r="U16" s="2"/>
      <c r="V16" s="19"/>
      <c r="W16" s="2"/>
      <c r="X16" s="2">
        <f t="shared" si="2"/>
        <v>126932.94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--1771.88</f>
        <v>1771.88</v>
      </c>
      <c r="E17" s="2"/>
      <c r="F17" s="19"/>
      <c r="G17" s="2"/>
      <c r="H17" s="2"/>
      <c r="I17" s="2"/>
      <c r="J17" s="19"/>
      <c r="K17" s="2"/>
      <c r="L17" s="2">
        <f t="shared" si="0"/>
        <v>1771.88</v>
      </c>
      <c r="M17" s="2"/>
      <c r="N17" s="19">
        <f t="shared" si="1"/>
        <v>0</v>
      </c>
      <c r="O17" s="11"/>
      <c r="P17" s="2">
        <f>--4870.79</f>
        <v>4870.79</v>
      </c>
      <c r="Q17" s="2"/>
      <c r="R17" s="19"/>
      <c r="S17" s="2"/>
      <c r="T17" s="2"/>
      <c r="U17" s="2"/>
      <c r="V17" s="19"/>
      <c r="W17" s="2"/>
      <c r="X17" s="2">
        <f t="shared" si="2"/>
        <v>4870.79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--5818.73</f>
        <v>5818.73</v>
      </c>
      <c r="E18" s="2"/>
      <c r="F18" s="19"/>
      <c r="G18" s="2"/>
      <c r="H18" s="2"/>
      <c r="I18" s="2"/>
      <c r="J18" s="19"/>
      <c r="K18" s="2"/>
      <c r="L18" s="2">
        <f t="shared" si="0"/>
        <v>5818.73</v>
      </c>
      <c r="M18" s="2"/>
      <c r="N18" s="19">
        <f t="shared" si="1"/>
        <v>0</v>
      </c>
      <c r="O18" s="11"/>
      <c r="P18" s="2">
        <f>--65269.63</f>
        <v>65269.63</v>
      </c>
      <c r="Q18" s="2"/>
      <c r="R18" s="19"/>
      <c r="S18" s="2"/>
      <c r="T18" s="2"/>
      <c r="U18" s="2"/>
      <c r="V18" s="19"/>
      <c r="W18" s="2"/>
      <c r="X18" s="2">
        <f t="shared" si="2"/>
        <v>65269.63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32756</v>
      </c>
      <c r="I19" s="2"/>
      <c r="J19" s="19"/>
      <c r="K19" s="2"/>
      <c r="L19" s="2">
        <f t="shared" si="0"/>
        <v>-32756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162481</v>
      </c>
      <c r="U19" s="2"/>
      <c r="V19" s="19"/>
      <c r="W19" s="2"/>
      <c r="X19" s="2">
        <f t="shared" si="2"/>
        <v>-162481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--29.99</f>
        <v>29.99</v>
      </c>
      <c r="E20" s="2"/>
      <c r="F20" s="19"/>
      <c r="G20" s="2"/>
      <c r="H20" s="2"/>
      <c r="I20" s="2"/>
      <c r="J20" s="19"/>
      <c r="K20" s="2"/>
      <c r="L20" s="2">
        <f t="shared" si="0"/>
        <v>29.99</v>
      </c>
      <c r="M20" s="2"/>
      <c r="N20" s="19">
        <f t="shared" si="1"/>
        <v>0</v>
      </c>
      <c r="O20" s="11"/>
      <c r="P20" s="2">
        <f>--12508.62</f>
        <v>12508.62</v>
      </c>
      <c r="Q20" s="2"/>
      <c r="R20" s="19"/>
      <c r="S20" s="2"/>
      <c r="T20" s="2"/>
      <c r="U20" s="2"/>
      <c r="V20" s="19"/>
      <c r="W20" s="2"/>
      <c r="X20" s="2">
        <f t="shared" si="2"/>
        <v>12508.62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--61075.64</f>
        <v>61075.64</v>
      </c>
      <c r="E21" s="2"/>
      <c r="F21" s="19"/>
      <c r="G21" s="2"/>
      <c r="H21" s="2"/>
      <c r="I21" s="2"/>
      <c r="J21" s="19"/>
      <c r="K21" s="2"/>
      <c r="L21" s="2">
        <f t="shared" si="0"/>
        <v>61075.64</v>
      </c>
      <c r="M21" s="2"/>
      <c r="N21" s="19">
        <f t="shared" si="1"/>
        <v>0</v>
      </c>
      <c r="O21" s="11"/>
      <c r="P21" s="2">
        <f>--314490.47</f>
        <v>314490.46999999997</v>
      </c>
      <c r="Q21" s="2"/>
      <c r="R21" s="19"/>
      <c r="S21" s="2"/>
      <c r="T21" s="2"/>
      <c r="U21" s="2"/>
      <c r="V21" s="19"/>
      <c r="W21" s="2"/>
      <c r="X21" s="2">
        <f t="shared" si="2"/>
        <v>314490.46999999997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--2879.59</f>
        <v>2879.59</v>
      </c>
      <c r="E22" s="2"/>
      <c r="F22" s="19"/>
      <c r="G22" s="2"/>
      <c r="H22" s="2"/>
      <c r="I22" s="2"/>
      <c r="J22" s="19"/>
      <c r="K22" s="2"/>
      <c r="L22" s="2">
        <f t="shared" si="0"/>
        <v>2879.59</v>
      </c>
      <c r="M22" s="2"/>
      <c r="N22" s="19">
        <f t="shared" si="1"/>
        <v>0</v>
      </c>
      <c r="O22" s="11"/>
      <c r="P22" s="2">
        <f>--19486.02</f>
        <v>19486.02</v>
      </c>
      <c r="Q22" s="2"/>
      <c r="R22" s="19"/>
      <c r="S22" s="2"/>
      <c r="T22" s="2"/>
      <c r="U22" s="2"/>
      <c r="V22" s="19"/>
      <c r="W22" s="2"/>
      <c r="X22" s="2">
        <f t="shared" si="2"/>
        <v>19486.02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--11345.61</f>
        <v>11345.61</v>
      </c>
      <c r="E23" s="2"/>
      <c r="F23" s="19"/>
      <c r="G23" s="2"/>
      <c r="H23" s="2"/>
      <c r="I23" s="2"/>
      <c r="J23" s="19"/>
      <c r="K23" s="2"/>
      <c r="L23" s="2">
        <f t="shared" si="0"/>
        <v>11345.61</v>
      </c>
      <c r="M23" s="2"/>
      <c r="N23" s="19">
        <f t="shared" si="1"/>
        <v>0</v>
      </c>
      <c r="O23" s="11"/>
      <c r="P23" s="2">
        <f>--50032.39</f>
        <v>50032.39</v>
      </c>
      <c r="Q23" s="2"/>
      <c r="R23" s="19"/>
      <c r="S23" s="2"/>
      <c r="T23" s="2"/>
      <c r="U23" s="2"/>
      <c r="V23" s="19"/>
      <c r="W23" s="2"/>
      <c r="X23" s="2">
        <f t="shared" si="2"/>
        <v>50032.39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--89.97</f>
        <v>89.97</v>
      </c>
      <c r="E24" s="2"/>
      <c r="F24" s="19"/>
      <c r="G24" s="2"/>
      <c r="H24" s="2"/>
      <c r="I24" s="2"/>
      <c r="J24" s="19"/>
      <c r="K24" s="2"/>
      <c r="L24" s="2">
        <f t="shared" si="0"/>
        <v>89.97</v>
      </c>
      <c r="M24" s="2"/>
      <c r="N24" s="19">
        <f t="shared" si="1"/>
        <v>0</v>
      </c>
      <c r="O24" s="11"/>
      <c r="P24" s="2">
        <f>--3345.17</f>
        <v>3345.17</v>
      </c>
      <c r="Q24" s="2"/>
      <c r="R24" s="19"/>
      <c r="S24" s="2"/>
      <c r="T24" s="2"/>
      <c r="U24" s="2"/>
      <c r="V24" s="19"/>
      <c r="W24" s="2"/>
      <c r="X24" s="2">
        <f t="shared" si="2"/>
        <v>3345.17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-14762.14</f>
        <v>-14762.14</v>
      </c>
      <c r="Q25" s="2"/>
      <c r="R25" s="19"/>
      <c r="S25" s="2"/>
      <c r="T25" s="2"/>
      <c r="U25" s="2"/>
      <c r="V25" s="19"/>
      <c r="W25" s="2"/>
      <c r="X25" s="2">
        <f t="shared" si="2"/>
        <v>-14762.14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-42380</f>
        <v>-42380</v>
      </c>
      <c r="E26" s="2"/>
      <c r="F26" s="19"/>
      <c r="G26" s="2"/>
      <c r="H26" s="2"/>
      <c r="I26" s="2"/>
      <c r="J26" s="19"/>
      <c r="K26" s="2"/>
      <c r="L26" s="2">
        <f t="shared" si="0"/>
        <v>-42380</v>
      </c>
      <c r="M26" s="2"/>
      <c r="N26" s="19">
        <f t="shared" si="1"/>
        <v>0</v>
      </c>
      <c r="O26" s="11"/>
      <c r="P26" s="2">
        <f>-215145.16</f>
        <v>-215145.16</v>
      </c>
      <c r="Q26" s="2"/>
      <c r="R26" s="19"/>
      <c r="S26" s="2"/>
      <c r="T26" s="2"/>
      <c r="U26" s="2"/>
      <c r="V26" s="19"/>
      <c r="W26" s="2"/>
      <c r="X26" s="2">
        <f t="shared" si="2"/>
        <v>-215145.16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-197.95</f>
        <v>-197.95</v>
      </c>
      <c r="E27" s="2"/>
      <c r="F27" s="19"/>
      <c r="G27" s="2"/>
      <c r="H27" s="2"/>
      <c r="I27" s="2"/>
      <c r="J27" s="19"/>
      <c r="K27" s="2"/>
      <c r="L27" s="2">
        <f t="shared" si="0"/>
        <v>-197.95</v>
      </c>
      <c r="M27" s="2"/>
      <c r="N27" s="19">
        <f t="shared" si="1"/>
        <v>0</v>
      </c>
      <c r="O27" s="11"/>
      <c r="P27" s="2">
        <f>-3947.2</f>
        <v>-3947.2</v>
      </c>
      <c r="Q27" s="2"/>
      <c r="R27" s="19"/>
      <c r="S27" s="2"/>
      <c r="T27" s="2"/>
      <c r="U27" s="2"/>
      <c r="V27" s="19"/>
      <c r="W27" s="2"/>
      <c r="X27" s="2">
        <f t="shared" si="2"/>
        <v>-3947.2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-99.83</f>
        <v>-99.83</v>
      </c>
      <c r="E28" s="2"/>
      <c r="F28" s="19"/>
      <c r="G28" s="2"/>
      <c r="H28" s="2"/>
      <c r="I28" s="2"/>
      <c r="J28" s="19"/>
      <c r="K28" s="2"/>
      <c r="L28" s="2">
        <f t="shared" si="0"/>
        <v>-99.83</v>
      </c>
      <c r="M28" s="2"/>
      <c r="N28" s="19">
        <f t="shared" si="1"/>
        <v>0</v>
      </c>
      <c r="O28" s="11"/>
      <c r="P28" s="2">
        <f>-1091.79</f>
        <v>-1091.79</v>
      </c>
      <c r="Q28" s="2"/>
      <c r="R28" s="19"/>
      <c r="S28" s="2"/>
      <c r="T28" s="2"/>
      <c r="U28" s="2"/>
      <c r="V28" s="19"/>
      <c r="W28" s="2"/>
      <c r="X28" s="2">
        <f t="shared" si="2"/>
        <v>-1091.79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 t="shared" ref="D29:D30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-4802.29</f>
        <v>-4802.29</v>
      </c>
      <c r="Q29" s="2"/>
      <c r="R29" s="19"/>
      <c r="S29" s="2"/>
      <c r="T29" s="2"/>
      <c r="U29" s="2"/>
      <c r="V29" s="19"/>
      <c r="W29" s="2"/>
      <c r="X29" s="2">
        <f t="shared" si="2"/>
        <v>-4802.29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-5624.15</f>
        <v>-5624.15</v>
      </c>
      <c r="Q30" s="2"/>
      <c r="R30" s="19"/>
      <c r="S30" s="2"/>
      <c r="T30" s="2"/>
      <c r="U30" s="2"/>
      <c r="V30" s="19"/>
      <c r="W30" s="2"/>
      <c r="X30" s="2">
        <f t="shared" si="2"/>
        <v>-5624.15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"4383", " - ", "SALES RETURN NON TAXABLE-COMPU")</f>
        <v xml:space="preserve">          4383 - SALES RETURN NON TAXABLE-COMPU</v>
      </c>
      <c r="C31" s="11"/>
      <c r="D31" s="2">
        <f>-14.99</f>
        <v>-14.99</v>
      </c>
      <c r="E31" s="2"/>
      <c r="F31" s="19"/>
      <c r="G31" s="2"/>
      <c r="H31" s="2"/>
      <c r="I31" s="2"/>
      <c r="J31" s="19"/>
      <c r="K31" s="2"/>
      <c r="L31" s="2">
        <f t="shared" si="0"/>
        <v>-14.99</v>
      </c>
      <c r="M31" s="2"/>
      <c r="N31" s="19">
        <f t="shared" si="1"/>
        <v>0</v>
      </c>
      <c r="O31" s="11"/>
      <c r="P31" s="2">
        <f>-14.99</f>
        <v>-14.99</v>
      </c>
      <c r="Q31" s="2"/>
      <c r="R31" s="19"/>
      <c r="S31" s="2"/>
      <c r="T31" s="2"/>
      <c r="U31" s="2"/>
      <c r="V31" s="19"/>
      <c r="W31" s="2"/>
      <c r="X31" s="2">
        <f t="shared" si="2"/>
        <v>-14.99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257</v>
      </c>
      <c r="C33" s="10"/>
      <c r="D33" s="4">
        <f>SUM(OSRRefD16x_0)</f>
        <v>369412.99999999994</v>
      </c>
      <c r="E33" s="4"/>
      <c r="F33" s="12">
        <f t="shared" ref="F33:F47" si="5">IF(D$12=0,0,D33/D$12)</f>
        <v>0.91614052853149075</v>
      </c>
      <c r="G33" s="4"/>
      <c r="H33" s="4">
        <f>SUM(OSRRefH16x_0)</f>
        <v>279233</v>
      </c>
      <c r="I33" s="4"/>
      <c r="J33" s="12">
        <f t="shared" ref="J33:J47" si="6">IF(H$12=0,0,H33/H$12)</f>
        <v>1.0294645720964013</v>
      </c>
      <c r="K33" s="4"/>
      <c r="L33" s="4">
        <f t="shared" ref="L33:L47" si="7">+D33-H33</f>
        <v>90179.999999999942</v>
      </c>
      <c r="M33" s="4"/>
      <c r="N33" s="12">
        <f t="shared" ref="N33:N47" si="8">IF(H33=0,0,L33/H33)</f>
        <v>0.32295609759591432</v>
      </c>
      <c r="O33" s="10"/>
      <c r="P33" s="4">
        <f>SUM(OSRRefP16x_0)</f>
        <v>2233934.84</v>
      </c>
      <c r="Q33" s="4"/>
      <c r="R33" s="12">
        <f t="shared" ref="R33:R47" si="9">IF(P$12=0,0,P33/P$12)</f>
        <v>0.92205286653919083</v>
      </c>
      <c r="S33" s="4"/>
      <c r="T33" s="4">
        <f>SUM(OSRRefT16x_0)</f>
        <v>1711912</v>
      </c>
      <c r="U33" s="4"/>
      <c r="V33" s="12">
        <f t="shared" ref="V33:V47" si="10">IF(T$12=0,0,T33/T$12)</f>
        <v>0.81297251707709961</v>
      </c>
      <c r="W33" s="4"/>
      <c r="X33" s="4">
        <f t="shared" ref="X33:X47" si="11">+P33-T33</f>
        <v>522022.83999999985</v>
      </c>
      <c r="Y33" s="4"/>
      <c r="Z33" s="12">
        <f t="shared" ref="Z33:Z47" si="12">IF(T33=0,0,X33/T33)</f>
        <v>0.30493555743519518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5"/>
        <v>0</v>
      </c>
      <c r="G34" s="2"/>
      <c r="H34" s="2">
        <v>279233</v>
      </c>
      <c r="I34" s="2"/>
      <c r="J34" s="19">
        <f t="shared" si="6"/>
        <v>1.0294645720964013</v>
      </c>
      <c r="K34" s="2"/>
      <c r="L34" s="2">
        <f t="shared" si="7"/>
        <v>-279233</v>
      </c>
      <c r="M34" s="2"/>
      <c r="N34" s="19">
        <f t="shared" si="8"/>
        <v>-1</v>
      </c>
      <c r="O34" s="11"/>
      <c r="P34" s="2">
        <v>0</v>
      </c>
      <c r="Q34" s="2"/>
      <c r="R34" s="19">
        <f t="shared" si="9"/>
        <v>0</v>
      </c>
      <c r="S34" s="2"/>
      <c r="T34" s="2">
        <v>1711912</v>
      </c>
      <c r="U34" s="2"/>
      <c r="V34" s="19">
        <f t="shared" si="10"/>
        <v>0.81297251707709961</v>
      </c>
      <c r="W34" s="2"/>
      <c r="X34" s="2">
        <f t="shared" si="11"/>
        <v>-1711912</v>
      </c>
      <c r="Y34" s="2"/>
      <c r="Z34" s="19">
        <f t="shared" si="12"/>
        <v>-1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-19.5</v>
      </c>
      <c r="E35" s="2"/>
      <c r="F35" s="19">
        <f t="shared" si="5"/>
        <v>-4.8359804084761701E-5</v>
      </c>
      <c r="G35" s="2"/>
      <c r="H35" s="2"/>
      <c r="I35" s="2"/>
      <c r="J35" s="19">
        <f t="shared" si="6"/>
        <v>0</v>
      </c>
      <c r="K35" s="2"/>
      <c r="L35" s="2">
        <f t="shared" si="7"/>
        <v>-19.5</v>
      </c>
      <c r="M35" s="2"/>
      <c r="N35" s="19">
        <f t="shared" si="8"/>
        <v>0</v>
      </c>
      <c r="O35" s="11"/>
      <c r="P35" s="2">
        <v>32448.37</v>
      </c>
      <c r="Q35" s="2"/>
      <c r="R35" s="19">
        <f t="shared" si="9"/>
        <v>1.3393010412525858E-2</v>
      </c>
      <c r="S35" s="2"/>
      <c r="T35" s="2"/>
      <c r="U35" s="2"/>
      <c r="V35" s="19">
        <f t="shared" si="10"/>
        <v>0</v>
      </c>
      <c r="W35" s="2"/>
      <c r="X35" s="2">
        <f t="shared" si="11"/>
        <v>32448.37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277047.03999999998</v>
      </c>
      <c r="E36" s="2"/>
      <c r="F36" s="19">
        <f t="shared" si="5"/>
        <v>0.68707387572631473</v>
      </c>
      <c r="G36" s="2"/>
      <c r="H36" s="2"/>
      <c r="I36" s="2"/>
      <c r="J36" s="19">
        <f t="shared" si="6"/>
        <v>0</v>
      </c>
      <c r="K36" s="2"/>
      <c r="L36" s="2">
        <f t="shared" si="7"/>
        <v>277047.03999999998</v>
      </c>
      <c r="M36" s="2"/>
      <c r="N36" s="19">
        <f t="shared" si="8"/>
        <v>0</v>
      </c>
      <c r="O36" s="11"/>
      <c r="P36" s="2">
        <v>1673340.8</v>
      </c>
      <c r="Q36" s="2"/>
      <c r="R36" s="19">
        <f t="shared" si="9"/>
        <v>0.69066861472870134</v>
      </c>
      <c r="S36" s="2"/>
      <c r="T36" s="2"/>
      <c r="U36" s="2"/>
      <c r="V36" s="19">
        <f t="shared" si="10"/>
        <v>0</v>
      </c>
      <c r="W36" s="2"/>
      <c r="X36" s="2">
        <f t="shared" si="11"/>
        <v>1673340.8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14312.16</v>
      </c>
      <c r="E37" s="2"/>
      <c r="F37" s="19">
        <f t="shared" si="5"/>
        <v>3.5494013006654515E-2</v>
      </c>
      <c r="G37" s="2"/>
      <c r="H37" s="2"/>
      <c r="I37" s="2"/>
      <c r="J37" s="19">
        <f t="shared" si="6"/>
        <v>0</v>
      </c>
      <c r="K37" s="2"/>
      <c r="L37" s="2">
        <f t="shared" si="7"/>
        <v>14312.16</v>
      </c>
      <c r="M37" s="2"/>
      <c r="N37" s="19">
        <f t="shared" si="8"/>
        <v>0</v>
      </c>
      <c r="O37" s="11"/>
      <c r="P37" s="2">
        <v>119515.49</v>
      </c>
      <c r="Q37" s="2"/>
      <c r="R37" s="19">
        <f t="shared" si="9"/>
        <v>4.9329818478651782E-2</v>
      </c>
      <c r="S37" s="2"/>
      <c r="T37" s="2"/>
      <c r="U37" s="2"/>
      <c r="V37" s="19">
        <f t="shared" si="10"/>
        <v>0</v>
      </c>
      <c r="W37" s="2"/>
      <c r="X37" s="2">
        <f t="shared" si="11"/>
        <v>119515.49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4012.17</v>
      </c>
      <c r="E38" s="2"/>
      <c r="F38" s="19">
        <f t="shared" si="5"/>
        <v>9.9501412899876077E-3</v>
      </c>
      <c r="G38" s="2"/>
      <c r="H38" s="2"/>
      <c r="I38" s="2"/>
      <c r="J38" s="19">
        <f t="shared" si="6"/>
        <v>0</v>
      </c>
      <c r="K38" s="2"/>
      <c r="L38" s="2">
        <f t="shared" si="7"/>
        <v>4012.17</v>
      </c>
      <c r="M38" s="2"/>
      <c r="N38" s="19">
        <f t="shared" si="8"/>
        <v>0</v>
      </c>
      <c r="O38" s="11"/>
      <c r="P38" s="2">
        <v>37910.879999999997</v>
      </c>
      <c r="Q38" s="2"/>
      <c r="R38" s="19">
        <f t="shared" si="9"/>
        <v>1.5647652273073138E-2</v>
      </c>
      <c r="S38" s="2"/>
      <c r="T38" s="2"/>
      <c r="U38" s="2"/>
      <c r="V38" s="19">
        <f t="shared" si="10"/>
        <v>0</v>
      </c>
      <c r="W38" s="2"/>
      <c r="X38" s="2">
        <f t="shared" si="11"/>
        <v>37910.879999999997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28.4</v>
      </c>
      <c r="E39" s="2"/>
      <c r="F39" s="19">
        <f t="shared" si="5"/>
        <v>7.0431714667037548E-5</v>
      </c>
      <c r="G39" s="2"/>
      <c r="H39" s="2"/>
      <c r="I39" s="2"/>
      <c r="J39" s="19">
        <f t="shared" si="6"/>
        <v>0</v>
      </c>
      <c r="K39" s="2"/>
      <c r="L39" s="2">
        <f t="shared" si="7"/>
        <v>28.4</v>
      </c>
      <c r="M39" s="2"/>
      <c r="N39" s="19">
        <f t="shared" si="8"/>
        <v>0</v>
      </c>
      <c r="O39" s="11"/>
      <c r="P39" s="2">
        <v>23679.39</v>
      </c>
      <c r="Q39" s="2"/>
      <c r="R39" s="19">
        <f t="shared" si="9"/>
        <v>9.7736285931238048E-3</v>
      </c>
      <c r="S39" s="2"/>
      <c r="T39" s="2"/>
      <c r="U39" s="2"/>
      <c r="V39" s="19">
        <f t="shared" si="10"/>
        <v>0</v>
      </c>
      <c r="W39" s="2"/>
      <c r="X39" s="2">
        <f t="shared" si="11"/>
        <v>23679.39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-295380.27</v>
      </c>
      <c r="E40" s="2"/>
      <c r="F40" s="19">
        <f t="shared" si="5"/>
        <v>-0.73254010193353924</v>
      </c>
      <c r="G40" s="2"/>
      <c r="H40" s="2"/>
      <c r="I40" s="2"/>
      <c r="J40" s="19">
        <f t="shared" si="6"/>
        <v>0</v>
      </c>
      <c r="K40" s="2"/>
      <c r="L40" s="2">
        <f t="shared" si="7"/>
        <v>-295380.27</v>
      </c>
      <c r="M40" s="2"/>
      <c r="N40" s="19">
        <f t="shared" si="8"/>
        <v>0</v>
      </c>
      <c r="O40" s="11"/>
      <c r="P40" s="2">
        <v>-1883381.08</v>
      </c>
      <c r="Q40" s="2"/>
      <c r="R40" s="19">
        <f t="shared" si="9"/>
        <v>-0.77736238877928832</v>
      </c>
      <c r="S40" s="2"/>
      <c r="T40" s="2"/>
      <c r="U40" s="2"/>
      <c r="V40" s="19">
        <f t="shared" si="10"/>
        <v>0</v>
      </c>
      <c r="W40" s="2"/>
      <c r="X40" s="2">
        <f t="shared" si="11"/>
        <v>-1883381.08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"5300", " - ", "COG$ OFFSET")</f>
        <v xml:space="preserve">          5300 - COG$ OFFSET</v>
      </c>
      <c r="C41" s="11"/>
      <c r="D41" s="2">
        <v>369413</v>
      </c>
      <c r="E41" s="2"/>
      <c r="F41" s="19">
        <f t="shared" si="5"/>
        <v>0.91614052853149097</v>
      </c>
      <c r="G41" s="2"/>
      <c r="H41" s="2"/>
      <c r="I41" s="2"/>
      <c r="J41" s="19">
        <f t="shared" si="6"/>
        <v>0</v>
      </c>
      <c r="K41" s="2"/>
      <c r="L41" s="2">
        <f t="shared" si="7"/>
        <v>369413</v>
      </c>
      <c r="M41" s="2"/>
      <c r="N41" s="19">
        <f t="shared" si="8"/>
        <v>0</v>
      </c>
      <c r="O41" s="11"/>
      <c r="P41" s="2">
        <v>2229989</v>
      </c>
      <c r="Q41" s="2"/>
      <c r="R41" s="19">
        <f t="shared" si="9"/>
        <v>0.92042422768287357</v>
      </c>
      <c r="S41" s="2"/>
      <c r="T41" s="2"/>
      <c r="U41" s="2"/>
      <c r="V41" s="19">
        <f t="shared" si="10"/>
        <v>0</v>
      </c>
      <c r="W41" s="2"/>
      <c r="X41" s="2">
        <f t="shared" si="11"/>
        <v>2229989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"5500", " - ", "FREIGHT-IN")</f>
        <v xml:space="preserve">          5500 - FREIGHT-IN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0</v>
      </c>
      <c r="Q42" s="2"/>
      <c r="R42" s="19">
        <f t="shared" si="9"/>
        <v>0</v>
      </c>
      <c r="S42" s="2"/>
      <c r="T42" s="2"/>
      <c r="U42" s="2"/>
      <c r="V42" s="19">
        <f t="shared" si="10"/>
        <v>0</v>
      </c>
      <c r="W42" s="2"/>
      <c r="X42" s="2">
        <f t="shared" si="11"/>
        <v>0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"5581", " - ", "FREIGHT-IN-ELECTRONICS")</f>
        <v xml:space="preserve">          5581 - FREIGHT-IN-ELECTRONICS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31</v>
      </c>
      <c r="Q43" s="2"/>
      <c r="R43" s="19">
        <f t="shared" si="9"/>
        <v>1.2795198118990309E-5</v>
      </c>
      <c r="S43" s="2"/>
      <c r="T43" s="2"/>
      <c r="U43" s="2"/>
      <c r="V43" s="19">
        <f t="shared" si="10"/>
        <v>0</v>
      </c>
      <c r="W43" s="2"/>
      <c r="X43" s="2">
        <f t="shared" si="11"/>
        <v>31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"5582", " - ", "FREIGHT-IN-COMPUTER HARDWARE")</f>
        <v xml:space="preserve">          5582 - FREIGHT-IN-COMPUTER HARDWARE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125</v>
      </c>
      <c r="Q44" s="2"/>
      <c r="R44" s="19">
        <f t="shared" si="9"/>
        <v>5.159354080238028E-5</v>
      </c>
      <c r="S44" s="2"/>
      <c r="T44" s="2"/>
      <c r="U44" s="2"/>
      <c r="V44" s="19">
        <f t="shared" si="10"/>
        <v>0</v>
      </c>
      <c r="W44" s="2"/>
      <c r="X44" s="2">
        <f t="shared" si="11"/>
        <v>125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"5583", " - ", "FREIGHT-IN-COMPUTER EQUIPMENT")</f>
        <v xml:space="preserve">          5583 - FREIGHT-IN-COMPUTER EQUIPMENT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242.46</v>
      </c>
      <c r="Q45" s="2"/>
      <c r="R45" s="19">
        <f t="shared" si="9"/>
        <v>1.0007495922356099E-4</v>
      </c>
      <c r="S45" s="2"/>
      <c r="T45" s="2"/>
      <c r="U45" s="2"/>
      <c r="V45" s="19">
        <f t="shared" si="10"/>
        <v>0</v>
      </c>
      <c r="W45" s="2"/>
      <c r="X45" s="2">
        <f t="shared" si="11"/>
        <v>242.46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"5585", " - ", "FREIGHT-IN-SOFTWARE")</f>
        <v xml:space="preserve">          5585 - FREIGHT-IN-SOFTWARE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9.41</v>
      </c>
      <c r="Q46" s="2"/>
      <c r="R46" s="19">
        <f t="shared" si="9"/>
        <v>3.8839617516031877E-6</v>
      </c>
      <c r="S46" s="2"/>
      <c r="T46" s="2"/>
      <c r="U46" s="2"/>
      <c r="V46" s="19">
        <f t="shared" si="10"/>
        <v>0</v>
      </c>
      <c r="W46" s="2"/>
      <c r="X46" s="2">
        <f t="shared" si="11"/>
        <v>9.41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24.12</v>
      </c>
      <c r="Q47" s="2"/>
      <c r="R47" s="19">
        <f t="shared" si="9"/>
        <v>9.9554896332272994E-6</v>
      </c>
      <c r="S47" s="2"/>
      <c r="T47" s="2"/>
      <c r="U47" s="2"/>
      <c r="V47" s="19">
        <f t="shared" si="10"/>
        <v>0</v>
      </c>
      <c r="W47" s="2"/>
      <c r="X47" s="2">
        <f t="shared" si="11"/>
        <v>24.12</v>
      </c>
      <c r="Y47" s="2"/>
      <c r="Z47" s="19">
        <f t="shared" si="12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108</v>
      </c>
      <c r="C49" s="28"/>
      <c r="D49" s="21">
        <f>D12-D33</f>
        <v>33814.44</v>
      </c>
      <c r="E49" s="14"/>
      <c r="F49" s="20">
        <f>IF(D$12=0,0,D49/D$12)</f>
        <v>8.3859471468509209E-2</v>
      </c>
      <c r="G49" s="14"/>
      <c r="H49" s="21">
        <f>H12-H33</f>
        <v>-7992</v>
      </c>
      <c r="I49" s="14"/>
      <c r="J49" s="20">
        <f>IF(H$12=0,0,H49/H$12)</f>
        <v>-2.9464572096401354E-2</v>
      </c>
      <c r="K49" s="16"/>
      <c r="L49" s="21">
        <f>+D49-H49</f>
        <v>41806.44</v>
      </c>
      <c r="M49" s="16"/>
      <c r="N49" s="20">
        <f>IF(H49=0,0,L49/H49)</f>
        <v>-5.231036036036036</v>
      </c>
      <c r="O49" s="29"/>
      <c r="P49" s="21">
        <f>P12-P33</f>
        <v>188849.05999999959</v>
      </c>
      <c r="Q49" s="14"/>
      <c r="R49" s="20">
        <f>IF(P$12=0,0,P49/P$12)</f>
        <v>7.7947133460809129E-2</v>
      </c>
      <c r="S49" s="14"/>
      <c r="T49" s="21">
        <f>T12-T33</f>
        <v>393832</v>
      </c>
      <c r="U49" s="14"/>
      <c r="V49" s="20">
        <f>IF(T$12=0,0,T49/T$12)</f>
        <v>0.18702748292290042</v>
      </c>
      <c r="W49" s="16"/>
      <c r="X49" s="21">
        <f>+P49-T49</f>
        <v>-204982.94000000041</v>
      </c>
      <c r="Y49" s="16"/>
      <c r="Z49" s="20">
        <f>IF(T49=0,0,X49/T49)</f>
        <v>-0.52048320095878553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295</v>
      </c>
      <c r="C51" s="10"/>
      <c r="D51" s="22">
        <f>SUM(OSRRefD22x_0)</f>
        <v>13637.129999999997</v>
      </c>
      <c r="E51" s="22"/>
      <c r="F51" s="32">
        <f t="shared" ref="F51:F62" si="13">IF(D$12=0,0,D51/D$12)</f>
        <v>3.3819945388637238E-2</v>
      </c>
      <c r="G51" s="22"/>
      <c r="H51" s="22">
        <f>SUM(OSRRefH22x_0)</f>
        <v>23065.210178557689</v>
      </c>
      <c r="I51" s="22"/>
      <c r="J51" s="32">
        <f t="shared" ref="J51:J62" si="14">IF(H$12=0,0,H51/H$12)</f>
        <v>8.5035854382477905E-2</v>
      </c>
      <c r="K51" s="4"/>
      <c r="L51" s="22">
        <f t="shared" ref="L51:L62" si="15">+D51-H51</f>
        <v>-9428.0801785576914</v>
      </c>
      <c r="M51" s="4"/>
      <c r="N51" s="32">
        <f t="shared" ref="N51:N62" si="16">IF(H51=0,0,L51/H51)</f>
        <v>-0.40875760964547375</v>
      </c>
      <c r="O51" s="10"/>
      <c r="P51" s="22">
        <f>SUM(OSRRefP22x_0)</f>
        <v>137695.78</v>
      </c>
      <c r="Q51" s="22"/>
      <c r="R51" s="32">
        <f t="shared" ref="R51:R62" si="17">IF(P$12=0,0,P51/P$12)</f>
        <v>5.6833702749964632E-2</v>
      </c>
      <c r="S51" s="22"/>
      <c r="T51" s="22">
        <f>SUM(OSRRefT22x_0)</f>
        <v>197875.90481090773</v>
      </c>
      <c r="U51" s="22"/>
      <c r="V51" s="32">
        <f t="shared" ref="V51:V62" si="18">IF(T$12=0,0,T51/T$12)</f>
        <v>9.3969592130338606E-2</v>
      </c>
      <c r="W51" s="4"/>
      <c r="X51" s="22">
        <f t="shared" ref="X51:X62" si="19">+P51-T51</f>
        <v>-60180.124810907728</v>
      </c>
      <c r="Y51" s="4"/>
      <c r="Z51" s="32">
        <f t="shared" ref="Z51:Z62" si="20">IF(T51=0,0,X51/T51)</f>
        <v>-0.30413063616015545</v>
      </c>
    </row>
    <row r="52" spans="1:26" s="25" customFormat="1" outlineLevel="1" collapsed="1" x14ac:dyDescent="0.25">
      <c r="A52" s="27"/>
      <c r="B52" s="13" t="str">
        <f>CONCATENATE("     ","*Benefits                                         ")</f>
        <v xml:space="preserve">     *Benefits                                         </v>
      </c>
      <c r="C52" s="13"/>
      <c r="D52" s="1">
        <f>SUM(OSRRefD22_0x_0)</f>
        <v>3356.18</v>
      </c>
      <c r="E52" s="1"/>
      <c r="F52" s="5">
        <f t="shared" si="13"/>
        <v>8.3232926806766933E-3</v>
      </c>
      <c r="G52" s="1"/>
      <c r="H52" s="1">
        <f>SUM(OSRRefH22_0x_0)</f>
        <v>2941.9939285576902</v>
      </c>
      <c r="I52" s="1"/>
      <c r="J52" s="5">
        <f t="shared" si="14"/>
        <v>1.0846420447342733E-2</v>
      </c>
      <c r="K52" s="1"/>
      <c r="L52" s="1">
        <f t="shared" si="15"/>
        <v>414.18607144230964</v>
      </c>
      <c r="M52" s="1"/>
      <c r="N52" s="5">
        <f t="shared" si="16"/>
        <v>0.14078413535182377</v>
      </c>
      <c r="O52" s="13"/>
      <c r="P52" s="1">
        <f>SUM(OSRRefP22_0x_0)</f>
        <v>29578.5</v>
      </c>
      <c r="Q52" s="1"/>
      <c r="R52" s="5">
        <f t="shared" si="17"/>
        <v>1.2208476372985642E-2</v>
      </c>
      <c r="S52" s="1"/>
      <c r="T52" s="1">
        <f>SUM(OSRRefT22_0x_0)</f>
        <v>26572.974890907703</v>
      </c>
      <c r="U52" s="1"/>
      <c r="V52" s="5">
        <f t="shared" si="18"/>
        <v>1.2619280829439715E-2</v>
      </c>
      <c r="W52" s="1"/>
      <c r="X52" s="1">
        <f t="shared" si="19"/>
        <v>3005.5251090922975</v>
      </c>
      <c r="Y52" s="1"/>
      <c r="Z52" s="5">
        <f t="shared" si="20"/>
        <v>0.11310457791915041</v>
      </c>
    </row>
    <row r="53" spans="1:26" s="24" customFormat="1" hidden="1" outlineLevel="2" x14ac:dyDescent="0.25">
      <c r="A53" s="26"/>
      <c r="B53" s="11" t="str">
        <f>CONCATENATE("          ", "6111", " - ", "F.I.C.A.")</f>
        <v xml:space="preserve">          6111 - F.I.C.A.</v>
      </c>
      <c r="C53" s="11"/>
      <c r="D53" s="7">
        <v>675.75</v>
      </c>
      <c r="E53" s="2"/>
      <c r="F53" s="6">
        <f t="shared" si="13"/>
        <v>1.6758532107834726E-3</v>
      </c>
      <c r="G53" s="2"/>
      <c r="H53" s="7">
        <v>532.10352375000002</v>
      </c>
      <c r="I53" s="2"/>
      <c r="J53" s="6">
        <f t="shared" si="14"/>
        <v>1.9617370668519878E-3</v>
      </c>
      <c r="K53" s="2"/>
      <c r="L53" s="7">
        <f t="shared" si="15"/>
        <v>143.64647624999998</v>
      </c>
      <c r="M53" s="2"/>
      <c r="N53" s="6">
        <f t="shared" si="16"/>
        <v>0.26995964100679376</v>
      </c>
      <c r="O53" s="11"/>
      <c r="P53" s="7">
        <v>5413.83</v>
      </c>
      <c r="Q53" s="2"/>
      <c r="R53" s="6">
        <f t="shared" si="17"/>
        <v>2.2345492720172036E-3</v>
      </c>
      <c r="S53" s="2"/>
      <c r="T53" s="7">
        <v>5109.8545290000002</v>
      </c>
      <c r="U53" s="2"/>
      <c r="V53" s="6">
        <f t="shared" si="18"/>
        <v>2.426626659745914E-3</v>
      </c>
      <c r="W53" s="2"/>
      <c r="X53" s="7">
        <f t="shared" si="19"/>
        <v>303.97547099999974</v>
      </c>
      <c r="Y53" s="2"/>
      <c r="Z53" s="6">
        <f t="shared" si="20"/>
        <v>5.9488087043348341E-2</v>
      </c>
    </row>
    <row r="54" spans="1:26" s="24" customFormat="1" hidden="1" outlineLevel="2" x14ac:dyDescent="0.25">
      <c r="A54" s="26"/>
      <c r="B54" s="11" t="str">
        <f>CONCATENATE("          ", "6112", " - ", "COMPENSATION INSURANCE")</f>
        <v xml:space="preserve">          6112 - COMPENSATION INSURANCE</v>
      </c>
      <c r="C54" s="11"/>
      <c r="D54" s="7">
        <v>175.68</v>
      </c>
      <c r="E54" s="2"/>
      <c r="F54" s="6">
        <f t="shared" si="13"/>
        <v>4.3568463495440696E-4</v>
      </c>
      <c r="G54" s="2"/>
      <c r="H54" s="7">
        <v>259.15493750000002</v>
      </c>
      <c r="I54" s="2"/>
      <c r="J54" s="6">
        <f t="shared" si="14"/>
        <v>9.554416091225147E-4</v>
      </c>
      <c r="K54" s="2"/>
      <c r="L54" s="7">
        <f t="shared" si="15"/>
        <v>-83.47493750000001</v>
      </c>
      <c r="M54" s="2"/>
      <c r="N54" s="6">
        <f t="shared" si="16"/>
        <v>-0.32210436854979851</v>
      </c>
      <c r="O54" s="11"/>
      <c r="P54" s="7">
        <v>1534.43</v>
      </c>
      <c r="Q54" s="2"/>
      <c r="R54" s="6">
        <f t="shared" si="17"/>
        <v>6.3333341450717102E-4</v>
      </c>
      <c r="S54" s="2"/>
      <c r="T54" s="7">
        <v>2152.7957160000001</v>
      </c>
      <c r="U54" s="2"/>
      <c r="V54" s="6">
        <f t="shared" si="18"/>
        <v>1.0223444616249649E-3</v>
      </c>
      <c r="W54" s="2"/>
      <c r="X54" s="7">
        <f t="shared" si="19"/>
        <v>-618.36571600000002</v>
      </c>
      <c r="Y54" s="2"/>
      <c r="Z54" s="6">
        <f t="shared" si="20"/>
        <v>-0.28723845528128134</v>
      </c>
    </row>
    <row r="55" spans="1:26" s="24" customFormat="1" hidden="1" outlineLevel="2" x14ac:dyDescent="0.25">
      <c r="A55" s="26"/>
      <c r="B55" s="11" t="str">
        <f>CONCATENATE("          ", "6113", " - ", "GROUP INSURANCE")</f>
        <v xml:space="preserve">          6113 - GROUP INSURANCE</v>
      </c>
      <c r="C55" s="11"/>
      <c r="D55" s="7">
        <v>1053.8499999999999</v>
      </c>
      <c r="E55" s="2"/>
      <c r="F55" s="6">
        <f t="shared" si="13"/>
        <v>2.6135374120372363E-3</v>
      </c>
      <c r="G55" s="2"/>
      <c r="H55" s="7">
        <v>1099.8076923076901</v>
      </c>
      <c r="I55" s="2"/>
      <c r="J55" s="6">
        <f t="shared" si="14"/>
        <v>4.0547251053774692E-3</v>
      </c>
      <c r="K55" s="2"/>
      <c r="L55" s="7">
        <f t="shared" si="15"/>
        <v>-45.957692307690195</v>
      </c>
      <c r="M55" s="2"/>
      <c r="N55" s="6">
        <f t="shared" si="16"/>
        <v>-4.178702570379253E-2</v>
      </c>
      <c r="O55" s="11"/>
      <c r="P55" s="7">
        <v>10430.18</v>
      </c>
      <c r="Q55" s="2"/>
      <c r="R55" s="6">
        <f t="shared" si="17"/>
        <v>4.3050393392493665E-3</v>
      </c>
      <c r="S55" s="2"/>
      <c r="T55" s="7">
        <v>10077.307692307701</v>
      </c>
      <c r="U55" s="2"/>
      <c r="V55" s="6">
        <f t="shared" si="18"/>
        <v>4.7856281163843753E-3</v>
      </c>
      <c r="W55" s="2"/>
      <c r="X55" s="7">
        <f t="shared" si="19"/>
        <v>352.87230769229973</v>
      </c>
      <c r="Y55" s="2"/>
      <c r="Z55" s="6">
        <f t="shared" si="20"/>
        <v>3.5016526086789762E-2</v>
      </c>
    </row>
    <row r="56" spans="1:26" s="24" customFormat="1" hidden="1" outlineLevel="2" x14ac:dyDescent="0.25">
      <c r="A56" s="26"/>
      <c r="B56" s="11" t="str">
        <f>CONCATENATE("          ", "6114", " - ", "STATE UNEMPLOYMENT INSURANCE")</f>
        <v xml:space="preserve">          6114 - STATE UNEMPLOYMENT INSURANCE</v>
      </c>
      <c r="C56" s="11"/>
      <c r="D56" s="7">
        <v>24.69</v>
      </c>
      <c r="E56" s="2"/>
      <c r="F56" s="6">
        <f t="shared" si="13"/>
        <v>6.1230951941167503E-5</v>
      </c>
      <c r="G56" s="2"/>
      <c r="H56" s="7">
        <v>36.421774999999997</v>
      </c>
      <c r="I56" s="2"/>
      <c r="J56" s="6">
        <f t="shared" si="14"/>
        <v>1.3427828020100204E-4</v>
      </c>
      <c r="K56" s="2"/>
      <c r="L56" s="7">
        <f t="shared" si="15"/>
        <v>-11.731774999999995</v>
      </c>
      <c r="M56" s="2"/>
      <c r="N56" s="6">
        <f t="shared" si="16"/>
        <v>-0.32210882089079945</v>
      </c>
      <c r="O56" s="11"/>
      <c r="P56" s="7">
        <v>230.35</v>
      </c>
      <c r="Q56" s="2"/>
      <c r="R56" s="6">
        <f t="shared" si="17"/>
        <v>9.5076576990626375E-5</v>
      </c>
      <c r="S56" s="2"/>
      <c r="T56" s="7">
        <v>302.55507360000001</v>
      </c>
      <c r="U56" s="2"/>
      <c r="V56" s="6">
        <f t="shared" si="18"/>
        <v>1.4368084325540046E-4</v>
      </c>
      <c r="W56" s="2"/>
      <c r="X56" s="7">
        <f t="shared" si="19"/>
        <v>-72.20507360000002</v>
      </c>
      <c r="Y56" s="2"/>
      <c r="Z56" s="6">
        <f t="shared" si="20"/>
        <v>-0.23865100902409728</v>
      </c>
    </row>
    <row r="57" spans="1:26" s="24" customFormat="1" hidden="1" outlineLevel="2" x14ac:dyDescent="0.25">
      <c r="A57" s="26"/>
      <c r="B57" s="11" t="str">
        <f>CONCATENATE("          ", "6115", " - ", "P.E.R.S.")</f>
        <v xml:space="preserve">          6115 - P.E.R.S.</v>
      </c>
      <c r="C57" s="11"/>
      <c r="D57" s="7">
        <v>176.42</v>
      </c>
      <c r="E57" s="2"/>
      <c r="F57" s="6">
        <f t="shared" si="13"/>
        <v>4.3751982751967478E-4</v>
      </c>
      <c r="G57" s="2"/>
      <c r="H57" s="7">
        <v>245.34725</v>
      </c>
      <c r="I57" s="2"/>
      <c r="J57" s="6">
        <f t="shared" si="14"/>
        <v>9.0453600303788879E-4</v>
      </c>
      <c r="K57" s="2"/>
      <c r="L57" s="7">
        <f t="shared" si="15"/>
        <v>-68.927250000000015</v>
      </c>
      <c r="M57" s="2"/>
      <c r="N57" s="6">
        <f t="shared" si="16"/>
        <v>-0.28093752833993457</v>
      </c>
      <c r="O57" s="11"/>
      <c r="P57" s="7">
        <v>1940.62</v>
      </c>
      <c r="Q57" s="2"/>
      <c r="R57" s="6">
        <f t="shared" si="17"/>
        <v>8.0098765721532174E-4</v>
      </c>
      <c r="S57" s="2"/>
      <c r="T57" s="7">
        <v>2159.0558000000001</v>
      </c>
      <c r="U57" s="2"/>
      <c r="V57" s="6">
        <f t="shared" si="18"/>
        <v>1.0253173225235356E-3</v>
      </c>
      <c r="W57" s="2"/>
      <c r="X57" s="7">
        <f t="shared" si="19"/>
        <v>-218.4358000000002</v>
      </c>
      <c r="Y57" s="2"/>
      <c r="Z57" s="6">
        <f t="shared" si="20"/>
        <v>-0.10117191042491824</v>
      </c>
    </row>
    <row r="58" spans="1:26" s="24" customFormat="1" hidden="1" outlineLevel="2" x14ac:dyDescent="0.25">
      <c r="A58" s="26"/>
      <c r="B58" s="11" t="str">
        <f>CONCATENATE("          ", "6116", " - ", "EDUCATIONAL BENEFITS")</f>
        <v xml:space="preserve">          6116 - EDUCATIONAL BENEFITS</v>
      </c>
      <c r="C58" s="11"/>
      <c r="D58" s="7"/>
      <c r="E58" s="2"/>
      <c r="F58" s="6">
        <f t="shared" si="13"/>
        <v>0</v>
      </c>
      <c r="G58" s="2"/>
      <c r="H58" s="7">
        <v>0</v>
      </c>
      <c r="I58" s="2"/>
      <c r="J58" s="6">
        <f t="shared" si="14"/>
        <v>0</v>
      </c>
      <c r="K58" s="2"/>
      <c r="L58" s="7">
        <f t="shared" si="15"/>
        <v>0</v>
      </c>
      <c r="M58" s="2"/>
      <c r="N58" s="6">
        <f t="shared" si="16"/>
        <v>0</v>
      </c>
      <c r="O58" s="11"/>
      <c r="P58" s="7"/>
      <c r="Q58" s="2"/>
      <c r="R58" s="6">
        <f t="shared" si="17"/>
        <v>0</v>
      </c>
      <c r="S58" s="2"/>
      <c r="T58" s="7">
        <v>0</v>
      </c>
      <c r="U58" s="2"/>
      <c r="V58" s="6">
        <f t="shared" si="18"/>
        <v>0</v>
      </c>
      <c r="W58" s="2"/>
      <c r="X58" s="7">
        <f t="shared" si="19"/>
        <v>0</v>
      </c>
      <c r="Y58" s="2"/>
      <c r="Z58" s="6">
        <f t="shared" si="20"/>
        <v>0</v>
      </c>
    </row>
    <row r="59" spans="1:26" s="24" customFormat="1" hidden="1" outlineLevel="2" x14ac:dyDescent="0.25">
      <c r="A59" s="26"/>
      <c r="B59" s="11" t="str">
        <f>CONCATENATE("          ", "6117", " - ", "RETIREMENT STAFF HOURLY")</f>
        <v xml:space="preserve">          6117 - RETIREMENT STAFF HOURLY</v>
      </c>
      <c r="C59" s="11"/>
      <c r="D59" s="7">
        <v>174.9</v>
      </c>
      <c r="E59" s="2"/>
      <c r="F59" s="6">
        <f t="shared" si="13"/>
        <v>4.3375024279101646E-4</v>
      </c>
      <c r="G59" s="2"/>
      <c r="H59" s="7"/>
      <c r="I59" s="2"/>
      <c r="J59" s="6">
        <f t="shared" si="14"/>
        <v>0</v>
      </c>
      <c r="K59" s="2"/>
      <c r="L59" s="7">
        <f t="shared" si="15"/>
        <v>174.9</v>
      </c>
      <c r="M59" s="2"/>
      <c r="N59" s="6">
        <f t="shared" si="16"/>
        <v>0</v>
      </c>
      <c r="O59" s="11"/>
      <c r="P59" s="7">
        <v>1895.94</v>
      </c>
      <c r="Q59" s="2"/>
      <c r="R59" s="6">
        <f t="shared" si="17"/>
        <v>7.8254606199091897E-4</v>
      </c>
      <c r="S59" s="2"/>
      <c r="T59" s="7"/>
      <c r="U59" s="2"/>
      <c r="V59" s="6">
        <f t="shared" si="18"/>
        <v>0</v>
      </c>
      <c r="W59" s="2"/>
      <c r="X59" s="7">
        <f t="shared" si="19"/>
        <v>1895.94</v>
      </c>
      <c r="Y59" s="2"/>
      <c r="Z59" s="6">
        <f t="shared" si="20"/>
        <v>0</v>
      </c>
    </row>
    <row r="60" spans="1:26" s="24" customFormat="1" hidden="1" outlineLevel="2" x14ac:dyDescent="0.25">
      <c r="A60" s="26"/>
      <c r="B60" s="11" t="str">
        <f>CONCATENATE("          ", "6118", " - ", "VACATION")</f>
        <v xml:space="preserve">          6118 - VACATION</v>
      </c>
      <c r="C60" s="11"/>
      <c r="D60" s="7">
        <v>400.56</v>
      </c>
      <c r="E60" s="2"/>
      <c r="F60" s="6">
        <f t="shared" si="13"/>
        <v>9.9338477559959728E-4</v>
      </c>
      <c r="G60" s="2"/>
      <c r="H60" s="7">
        <v>243.43625</v>
      </c>
      <c r="I60" s="2"/>
      <c r="J60" s="6">
        <f t="shared" si="14"/>
        <v>8.9749060798330641E-4</v>
      </c>
      <c r="K60" s="2"/>
      <c r="L60" s="7">
        <f t="shared" si="15"/>
        <v>157.12375</v>
      </c>
      <c r="M60" s="2"/>
      <c r="N60" s="6">
        <f t="shared" si="16"/>
        <v>0.64544105489630244</v>
      </c>
      <c r="O60" s="11"/>
      <c r="P60" s="7">
        <v>2891.22</v>
      </c>
      <c r="Q60" s="2"/>
      <c r="R60" s="6">
        <f t="shared" si="17"/>
        <v>1.1933462163092633E-3</v>
      </c>
      <c r="S60" s="2"/>
      <c r="T60" s="7">
        <v>2142.239</v>
      </c>
      <c r="U60" s="2"/>
      <c r="V60" s="6">
        <f t="shared" si="18"/>
        <v>1.0173311665615573E-3</v>
      </c>
      <c r="W60" s="2"/>
      <c r="X60" s="7">
        <f t="shared" si="19"/>
        <v>748.98099999999977</v>
      </c>
      <c r="Y60" s="2"/>
      <c r="Z60" s="6">
        <f t="shared" si="20"/>
        <v>0.34962532191786244</v>
      </c>
    </row>
    <row r="61" spans="1:26" s="24" customFormat="1" hidden="1" outlineLevel="2" x14ac:dyDescent="0.25">
      <c r="A61" s="26"/>
      <c r="B61" s="11" t="str">
        <f>CONCATENATE("          ", "6119", " - ", "SICK LEAVE")</f>
        <v xml:space="preserve">          6119 - SICK LEAVE</v>
      </c>
      <c r="C61" s="11"/>
      <c r="D61" s="7">
        <v>401.45</v>
      </c>
      <c r="E61" s="2"/>
      <c r="F61" s="6">
        <f t="shared" si="13"/>
        <v>9.9559196665782485E-4</v>
      </c>
      <c r="G61" s="2"/>
      <c r="H61" s="7">
        <v>350.72250000000003</v>
      </c>
      <c r="I61" s="2"/>
      <c r="J61" s="6">
        <f t="shared" si="14"/>
        <v>1.2930290774624781E-3</v>
      </c>
      <c r="K61" s="2"/>
      <c r="L61" s="7">
        <f t="shared" si="15"/>
        <v>50.727499999999964</v>
      </c>
      <c r="M61" s="2"/>
      <c r="N61" s="6">
        <f t="shared" si="16"/>
        <v>0.14463714189993501</v>
      </c>
      <c r="O61" s="11"/>
      <c r="P61" s="7">
        <v>2888.63</v>
      </c>
      <c r="Q61" s="2"/>
      <c r="R61" s="6">
        <f t="shared" si="17"/>
        <v>1.192277198143838E-3</v>
      </c>
      <c r="S61" s="2"/>
      <c r="T61" s="7">
        <v>2879.1670800000002</v>
      </c>
      <c r="U61" s="2"/>
      <c r="V61" s="6">
        <f t="shared" si="18"/>
        <v>1.3672920734904149E-3</v>
      </c>
      <c r="W61" s="2"/>
      <c r="X61" s="7">
        <f t="shared" si="19"/>
        <v>9.46291999999994</v>
      </c>
      <c r="Y61" s="2"/>
      <c r="Z61" s="6">
        <f t="shared" si="20"/>
        <v>3.2866866482788278E-3</v>
      </c>
    </row>
    <row r="62" spans="1:26" s="24" customFormat="1" hidden="1" outlineLevel="2" x14ac:dyDescent="0.25">
      <c r="A62" s="26"/>
      <c r="B62" s="11" t="str">
        <f>CONCATENATE("          ", "6156", " - ", "EMPLOYEE MEALS")</f>
        <v xml:space="preserve">          6156 - EMPLOYEE MEALS</v>
      </c>
      <c r="C62" s="11"/>
      <c r="D62" s="7">
        <v>272.88</v>
      </c>
      <c r="E62" s="2"/>
      <c r="F62" s="6">
        <f t="shared" si="13"/>
        <v>6.7673965839229596E-4</v>
      </c>
      <c r="G62" s="2"/>
      <c r="H62" s="7">
        <v>175</v>
      </c>
      <c r="I62" s="2"/>
      <c r="J62" s="6">
        <f t="shared" si="14"/>
        <v>6.4518269730608571E-4</v>
      </c>
      <c r="K62" s="2"/>
      <c r="L62" s="7">
        <f t="shared" si="15"/>
        <v>97.88</v>
      </c>
      <c r="M62" s="2"/>
      <c r="N62" s="6">
        <f t="shared" si="16"/>
        <v>0.55931428571428565</v>
      </c>
      <c r="O62" s="11"/>
      <c r="P62" s="7">
        <v>2353.3000000000002</v>
      </c>
      <c r="Q62" s="2"/>
      <c r="R62" s="6">
        <f t="shared" si="17"/>
        <v>9.713206365619322E-4</v>
      </c>
      <c r="S62" s="2"/>
      <c r="T62" s="7">
        <v>1750</v>
      </c>
      <c r="U62" s="2"/>
      <c r="V62" s="6">
        <f t="shared" si="18"/>
        <v>8.3106018585355108E-4</v>
      </c>
      <c r="W62" s="2"/>
      <c r="X62" s="7">
        <f t="shared" si="19"/>
        <v>603.30000000000018</v>
      </c>
      <c r="Y62" s="2"/>
      <c r="Z62" s="6">
        <f t="shared" si="20"/>
        <v>0.34474285714285724</v>
      </c>
    </row>
    <row r="63" spans="1:26" s="25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8263.98</v>
      </c>
      <c r="E63" s="1"/>
      <c r="F63" s="5">
        <f t="shared" ref="F63:F73" si="21">IF(D$12=0,0,D63/D$12)</f>
        <v>2.0494587372327639E-2</v>
      </c>
      <c r="G63" s="1"/>
      <c r="H63" s="1">
        <f>SUM(OSRRefH22_1x_0)</f>
        <v>13414.216250000001</v>
      </c>
      <c r="I63" s="1"/>
      <c r="J63" s="5">
        <f t="shared" ref="J63:J73" si="22">IF(H$12=0,0,H63/H$12)</f>
        <v>4.9454972699555011E-2</v>
      </c>
      <c r="K63" s="1"/>
      <c r="L63" s="1">
        <f t="shared" ref="L63:L73" si="23">+D63-H63</f>
        <v>-5150.2362500000017</v>
      </c>
      <c r="M63" s="1"/>
      <c r="N63" s="5">
        <f t="shared" ref="N63:N73" si="24">IF(H63=0,0,L63/H63)</f>
        <v>-0.38393866283466255</v>
      </c>
      <c r="O63" s="13"/>
      <c r="P63" s="1">
        <f>SUM(OSRRefP22_1x_0)</f>
        <v>82074.94</v>
      </c>
      <c r="Q63" s="1"/>
      <c r="R63" s="5">
        <f t="shared" ref="R63:R73" si="25">IF(P$12=0,0,P63/P$12)</f>
        <v>3.3876294125943306E-2</v>
      </c>
      <c r="S63" s="1"/>
      <c r="T63" s="1">
        <f>SUM(OSRRefT22_1x_0)</f>
        <v>111345.92992</v>
      </c>
      <c r="U63" s="1"/>
      <c r="V63" s="5">
        <f t="shared" ref="V63:V73" si="26">IF(T$12=0,0,T63/T$12)</f>
        <v>5.287723955048667E-2</v>
      </c>
      <c r="W63" s="1"/>
      <c r="X63" s="1">
        <f t="shared" ref="X63:X73" si="27">+P63-T63</f>
        <v>-29270.989919999993</v>
      </c>
      <c r="Y63" s="1"/>
      <c r="Z63" s="5">
        <f t="shared" ref="Z63:Z73" si="28">IF(T63=0,0,X63/T63)</f>
        <v>-0.26288333970564226</v>
      </c>
    </row>
    <row r="64" spans="1:26" s="24" customFormat="1" hidden="1" outlineLevel="2" x14ac:dyDescent="0.25">
      <c r="A64" s="26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6">
        <f t="shared" si="21"/>
        <v>0</v>
      </c>
      <c r="G64" s="2"/>
      <c r="H64" s="7">
        <v>0</v>
      </c>
      <c r="I64" s="2"/>
      <c r="J64" s="6">
        <f t="shared" si="22"/>
        <v>0</v>
      </c>
      <c r="K64" s="2"/>
      <c r="L64" s="7">
        <f t="shared" si="23"/>
        <v>0</v>
      </c>
      <c r="M64" s="2"/>
      <c r="N64" s="6">
        <f t="shared" si="24"/>
        <v>0</v>
      </c>
      <c r="O64" s="11"/>
      <c r="P64" s="7"/>
      <c r="Q64" s="2"/>
      <c r="R64" s="6">
        <f t="shared" si="25"/>
        <v>0</v>
      </c>
      <c r="S64" s="2"/>
      <c r="T64" s="7">
        <v>0</v>
      </c>
      <c r="U64" s="2"/>
      <c r="V64" s="6">
        <f t="shared" si="26"/>
        <v>0</v>
      </c>
      <c r="W64" s="2"/>
      <c r="X64" s="7">
        <f t="shared" si="27"/>
        <v>0</v>
      </c>
      <c r="Y64" s="2"/>
      <c r="Z64" s="6">
        <f t="shared" si="28"/>
        <v>0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7">
        <v>2395.9899999999998</v>
      </c>
      <c r="E65" s="2"/>
      <c r="F65" s="6">
        <f t="shared" si="21"/>
        <v>5.942031127643496E-3</v>
      </c>
      <c r="G65" s="2"/>
      <c r="H65" s="7">
        <v>2710.2312499999998</v>
      </c>
      <c r="I65" s="2"/>
      <c r="J65" s="6">
        <f t="shared" si="22"/>
        <v>9.9919674754185388E-3</v>
      </c>
      <c r="K65" s="2"/>
      <c r="L65" s="7">
        <f t="shared" si="23"/>
        <v>-314.24125000000004</v>
      </c>
      <c r="M65" s="2"/>
      <c r="N65" s="6">
        <f t="shared" si="24"/>
        <v>-0.11594628687127714</v>
      </c>
      <c r="O65" s="11"/>
      <c r="P65" s="7">
        <v>23276.240000000002</v>
      </c>
      <c r="Q65" s="2"/>
      <c r="R65" s="6">
        <f t="shared" si="25"/>
        <v>9.6072291053279687E-3</v>
      </c>
      <c r="S65" s="2"/>
      <c r="T65" s="7">
        <v>23850.035</v>
      </c>
      <c r="U65" s="2"/>
      <c r="V65" s="6">
        <f t="shared" si="26"/>
        <v>1.1326179725550684E-2</v>
      </c>
      <c r="W65" s="2"/>
      <c r="X65" s="7">
        <f t="shared" si="27"/>
        <v>-573.79499999999825</v>
      </c>
      <c r="Y65" s="2"/>
      <c r="Z65" s="6">
        <f t="shared" si="28"/>
        <v>-2.4058455260128477E-2</v>
      </c>
    </row>
    <row r="66" spans="1:26" s="24" customFormat="1" hidden="1" outlineLevel="2" x14ac:dyDescent="0.25">
      <c r="A66" s="26"/>
      <c r="B66" s="11" t="str">
        <f>CONCATENATE("          ", "6003", " - ", "STAFF HOURLY-9 MONTH")</f>
        <v xml:space="preserve">          6003 - STAFF HOURLY-9 MONTH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6"/>
      <c r="B67" s="11" t="str">
        <f>CONCATENATE("          ", "6004", " - ", "STAFF HOURLY")</f>
        <v xml:space="preserve">          6004 - STAFF HOURLY</v>
      </c>
      <c r="C67" s="11"/>
      <c r="D67" s="7">
        <v>4790.5</v>
      </c>
      <c r="E67" s="2"/>
      <c r="F67" s="6">
        <f t="shared" si="21"/>
        <v>1.1880391870156458E-2</v>
      </c>
      <c r="G67" s="2"/>
      <c r="H67" s="7">
        <v>3860.15</v>
      </c>
      <c r="I67" s="2"/>
      <c r="J67" s="6">
        <f t="shared" si="22"/>
        <v>1.423143993717764E-2</v>
      </c>
      <c r="K67" s="2"/>
      <c r="L67" s="7">
        <f t="shared" si="23"/>
        <v>930.34999999999991</v>
      </c>
      <c r="M67" s="2"/>
      <c r="N67" s="6">
        <f t="shared" si="24"/>
        <v>0.24101395023509445</v>
      </c>
      <c r="O67" s="11"/>
      <c r="P67" s="7">
        <v>36510.660000000003</v>
      </c>
      <c r="Q67" s="2"/>
      <c r="R67" s="6">
        <f t="shared" si="25"/>
        <v>1.5069713811454671E-2</v>
      </c>
      <c r="S67" s="2"/>
      <c r="T67" s="7">
        <v>33969.32</v>
      </c>
      <c r="U67" s="2"/>
      <c r="V67" s="6">
        <f t="shared" si="26"/>
        <v>1.6131742510010712E-2</v>
      </c>
      <c r="W67" s="2"/>
      <c r="X67" s="7">
        <f t="shared" si="27"/>
        <v>2541.3400000000038</v>
      </c>
      <c r="Y67" s="2"/>
      <c r="Z67" s="6">
        <f t="shared" si="28"/>
        <v>7.4812801669271095E-2</v>
      </c>
    </row>
    <row r="68" spans="1:26" s="24" customFormat="1" hidden="1" outlineLevel="2" x14ac:dyDescent="0.25">
      <c r="A68" s="26"/>
      <c r="B68" s="11" t="str">
        <f>CONCATENATE("          ", "6005", " - ", "TEMPORARY WAGES-HOURLY")</f>
        <v xml:space="preserve">          6005 - TEMPORARY WAGES-HOURLY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6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6"/>
      <c r="B70" s="11" t="str">
        <f>CONCATENATE("          ", "6007", " - ", "STUDENT HOURLY")</f>
        <v xml:space="preserve">          6007 - STUDENT HOURLY</v>
      </c>
      <c r="C70" s="11"/>
      <c r="D70" s="7">
        <v>1077.49</v>
      </c>
      <c r="E70" s="2"/>
      <c r="F70" s="6">
        <f t="shared" si="21"/>
        <v>2.6721643745276865E-3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1077.49</v>
      </c>
      <c r="M70" s="2"/>
      <c r="N70" s="6">
        <f t="shared" si="24"/>
        <v>0</v>
      </c>
      <c r="O70" s="11"/>
      <c r="P70" s="7">
        <v>22288.04</v>
      </c>
      <c r="Q70" s="2"/>
      <c r="R70" s="6">
        <f t="shared" si="25"/>
        <v>9.1993512091606711E-3</v>
      </c>
      <c r="S70" s="2"/>
      <c r="T70" s="7">
        <v>5416.48</v>
      </c>
      <c r="U70" s="2"/>
      <c r="V70" s="6">
        <f t="shared" si="26"/>
        <v>2.5722405002697383E-3</v>
      </c>
      <c r="W70" s="2"/>
      <c r="X70" s="7">
        <f t="shared" si="27"/>
        <v>16871.560000000001</v>
      </c>
      <c r="Y70" s="2"/>
      <c r="Z70" s="6">
        <f t="shared" si="28"/>
        <v>3.1148568812217534</v>
      </c>
    </row>
    <row r="71" spans="1:26" s="24" customFormat="1" hidden="1" outlineLevel="2" x14ac:dyDescent="0.25">
      <c r="A71" s="26"/>
      <c r="B71" s="11" t="str">
        <f>CONCATENATE("          ", "6008", " - ", "STUDENT HOURLY-FICA EXEMPT")</f>
        <v xml:space="preserve">          6008 - STUDENT HOURLY-FICA EXEMPT</v>
      </c>
      <c r="C71" s="11"/>
      <c r="D71" s="7"/>
      <c r="E71" s="2"/>
      <c r="F71" s="6">
        <f t="shared" si="21"/>
        <v>0</v>
      </c>
      <c r="G71" s="2"/>
      <c r="H71" s="7">
        <v>6843.835</v>
      </c>
      <c r="I71" s="2"/>
      <c r="J71" s="6">
        <f t="shared" si="22"/>
        <v>2.5231565286958829E-2</v>
      </c>
      <c r="K71" s="2"/>
      <c r="L71" s="7">
        <f t="shared" si="23"/>
        <v>-6843.835</v>
      </c>
      <c r="M71" s="2"/>
      <c r="N71" s="6">
        <f t="shared" si="24"/>
        <v>-1</v>
      </c>
      <c r="O71" s="11"/>
      <c r="P71" s="7"/>
      <c r="Q71" s="2"/>
      <c r="R71" s="6">
        <f t="shared" si="25"/>
        <v>0</v>
      </c>
      <c r="S71" s="2"/>
      <c r="T71" s="7">
        <v>48110.094920000003</v>
      </c>
      <c r="U71" s="2"/>
      <c r="V71" s="6">
        <f t="shared" si="26"/>
        <v>2.2847076814655535E-2</v>
      </c>
      <c r="W71" s="2"/>
      <c r="X71" s="7">
        <f t="shared" si="27"/>
        <v>-48110.094920000003</v>
      </c>
      <c r="Y71" s="2"/>
      <c r="Z71" s="6">
        <f t="shared" si="28"/>
        <v>-1</v>
      </c>
    </row>
    <row r="72" spans="1:26" s="24" customFormat="1" hidden="1" outlineLevel="2" x14ac:dyDescent="0.25">
      <c r="A72" s="26"/>
      <c r="B72" s="11" t="str">
        <f>CONCATENATE("          ", "6009", " - ", "TEMPORARY-SEASONAL")</f>
        <v xml:space="preserve">          6009 - TEMPORARY-SEASONAL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6"/>
      <c r="B73" s="11" t="str">
        <f>CONCATENATE("          ", "6010", " - ", "GRATUITY")</f>
        <v xml:space="preserve">          6010 - GRATUITY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/>
      <c r="Q73" s="2"/>
      <c r="R73" s="6">
        <f t="shared" si="25"/>
        <v>0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0</v>
      </c>
      <c r="Y73" s="2"/>
      <c r="Z73" s="6">
        <f t="shared" si="28"/>
        <v>0</v>
      </c>
    </row>
    <row r="74" spans="1:26" s="25" customFormat="1" outlineLevel="1" collapsed="1" x14ac:dyDescent="0.25">
      <c r="A74" s="27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26.46</v>
      </c>
      <c r="E74" s="1"/>
      <c r="F74" s="5">
        <f t="shared" ref="F74:F84" si="29">IF(D$12=0,0,D74/D$12)</f>
        <v>6.5620534158092024E-5</v>
      </c>
      <c r="G74" s="1"/>
      <c r="H74" s="1">
        <f>SUM(OSRRefH22_2x_0)</f>
        <v>200</v>
      </c>
      <c r="I74" s="1"/>
      <c r="J74" s="5">
        <f t="shared" ref="J74:J84" si="30">IF(H$12=0,0,H74/H$12)</f>
        <v>7.3735165406409793E-4</v>
      </c>
      <c r="K74" s="1"/>
      <c r="L74" s="1">
        <f t="shared" ref="L74:L84" si="31">+D74-H74</f>
        <v>-173.54</v>
      </c>
      <c r="M74" s="1"/>
      <c r="N74" s="5">
        <f t="shared" ref="N74:N84" si="32">IF(H74=0,0,L74/H74)</f>
        <v>-0.86769999999999992</v>
      </c>
      <c r="O74" s="13"/>
      <c r="P74" s="1">
        <f>SUM(OSRRefP22_2x_0)</f>
        <v>625.39</v>
      </c>
      <c r="Q74" s="1"/>
      <c r="R74" s="5">
        <f t="shared" ref="R74:R84" si="33">IF(P$12=0,0,P74/P$12)</f>
        <v>2.5812867585920486E-4</v>
      </c>
      <c r="S74" s="1"/>
      <c r="T74" s="1">
        <f>SUM(OSRRefT22_2x_0)</f>
        <v>2000</v>
      </c>
      <c r="U74" s="1"/>
      <c r="V74" s="5">
        <f t="shared" ref="V74:V84" si="34">IF(T$12=0,0,T74/T$12)</f>
        <v>9.4978306954691548E-4</v>
      </c>
      <c r="W74" s="1"/>
      <c r="X74" s="1">
        <f t="shared" ref="X74:X84" si="35">+P74-T74</f>
        <v>-1374.6100000000001</v>
      </c>
      <c r="Y74" s="1"/>
      <c r="Z74" s="5">
        <f t="shared" ref="Z74:Z84" si="36">IF(T74=0,0,X74/T74)</f>
        <v>-0.68730500000000005</v>
      </c>
    </row>
    <row r="75" spans="1:26" s="24" customFormat="1" hidden="1" outlineLevel="2" x14ac:dyDescent="0.25">
      <c r="A75" s="26"/>
      <c r="B75" s="11" t="str">
        <f>CONCATENATE("          ", "6362", " - ", "ADVERTISING EXPENSE")</f>
        <v xml:space="preserve">          6362 - ADVERTISING EXPENSE</v>
      </c>
      <c r="C75" s="11"/>
      <c r="D75" s="7">
        <v>26.46</v>
      </c>
      <c r="E75" s="2"/>
      <c r="F75" s="6">
        <f t="shared" si="29"/>
        <v>6.5620534158092024E-5</v>
      </c>
      <c r="G75" s="2"/>
      <c r="H75" s="7">
        <v>200</v>
      </c>
      <c r="I75" s="2"/>
      <c r="J75" s="6">
        <f t="shared" si="30"/>
        <v>7.3735165406409793E-4</v>
      </c>
      <c r="K75" s="2"/>
      <c r="L75" s="7">
        <f t="shared" si="31"/>
        <v>-173.54</v>
      </c>
      <c r="M75" s="2"/>
      <c r="N75" s="6">
        <f t="shared" si="32"/>
        <v>-0.86769999999999992</v>
      </c>
      <c r="O75" s="11"/>
      <c r="P75" s="7">
        <v>625.39</v>
      </c>
      <c r="Q75" s="2"/>
      <c r="R75" s="6">
        <f t="shared" si="33"/>
        <v>2.5812867585920486E-4</v>
      </c>
      <c r="S75" s="2"/>
      <c r="T75" s="7">
        <v>2000</v>
      </c>
      <c r="U75" s="2"/>
      <c r="V75" s="6">
        <f t="shared" si="34"/>
        <v>9.4978306954691548E-4</v>
      </c>
      <c r="W75" s="2"/>
      <c r="X75" s="7">
        <f t="shared" si="35"/>
        <v>-1374.6100000000001</v>
      </c>
      <c r="Y75" s="2"/>
      <c r="Z75" s="6">
        <f t="shared" si="36"/>
        <v>-0.68730500000000005</v>
      </c>
    </row>
    <row r="76" spans="1:26" s="25" customFormat="1" outlineLevel="1" collapsed="1" x14ac:dyDescent="0.25">
      <c r="A76" s="27"/>
      <c r="B76" s="13" t="str">
        <f>CONCATENATE("     ","Depreciation                                      ")</f>
        <v xml:space="preserve">     Depreciation                                      </v>
      </c>
      <c r="C76" s="13"/>
      <c r="D76" s="1">
        <f>SUM(OSRRefD22_3x_0)</f>
        <v>280.44</v>
      </c>
      <c r="E76" s="1"/>
      <c r="F76" s="5">
        <f t="shared" si="29"/>
        <v>6.9548838243746513E-4</v>
      </c>
      <c r="G76" s="1"/>
      <c r="H76" s="1">
        <f>SUM(OSRRefH22_3x_0)</f>
        <v>300</v>
      </c>
      <c r="I76" s="1"/>
      <c r="J76" s="5">
        <f t="shared" si="30"/>
        <v>1.106027481096147E-3</v>
      </c>
      <c r="K76" s="1"/>
      <c r="L76" s="1">
        <f t="shared" si="31"/>
        <v>-19.560000000000002</v>
      </c>
      <c r="M76" s="1"/>
      <c r="N76" s="5">
        <f t="shared" si="32"/>
        <v>-6.5200000000000008E-2</v>
      </c>
      <c r="O76" s="13"/>
      <c r="P76" s="1">
        <f>SUM(OSRRefP22_3x_0)</f>
        <v>2804.4</v>
      </c>
      <c r="Q76" s="1"/>
      <c r="R76" s="5">
        <f t="shared" si="33"/>
        <v>1.1575114066095622E-3</v>
      </c>
      <c r="S76" s="1"/>
      <c r="T76" s="1">
        <f>SUM(OSRRefT22_3x_0)</f>
        <v>3000</v>
      </c>
      <c r="U76" s="1"/>
      <c r="V76" s="5">
        <f t="shared" si="34"/>
        <v>1.4246746043203732E-3</v>
      </c>
      <c r="W76" s="1"/>
      <c r="X76" s="1">
        <f t="shared" si="35"/>
        <v>-195.59999999999991</v>
      </c>
      <c r="Y76" s="1"/>
      <c r="Z76" s="5">
        <f t="shared" si="36"/>
        <v>-6.5199999999999966E-2</v>
      </c>
    </row>
    <row r="77" spans="1:26" s="24" customFormat="1" hidden="1" outlineLevel="2" x14ac:dyDescent="0.25">
      <c r="A77" s="26"/>
      <c r="B77" s="11" t="str">
        <f>CONCATENATE("          ", "6322", " - ", "EQUIPMENT DEPRECIATION EXPENSE")</f>
        <v xml:space="preserve">          6322 - EQUIPMENT DEPRECIATION EXPENSE</v>
      </c>
      <c r="C77" s="11"/>
      <c r="D77" s="7">
        <v>280.44</v>
      </c>
      <c r="E77" s="2"/>
      <c r="F77" s="6">
        <f t="shared" si="29"/>
        <v>6.9548838243746513E-4</v>
      </c>
      <c r="G77" s="2"/>
      <c r="H77" s="7">
        <v>300</v>
      </c>
      <c r="I77" s="2"/>
      <c r="J77" s="6">
        <f t="shared" si="30"/>
        <v>1.106027481096147E-3</v>
      </c>
      <c r="K77" s="2"/>
      <c r="L77" s="7">
        <f t="shared" si="31"/>
        <v>-19.560000000000002</v>
      </c>
      <c r="M77" s="2"/>
      <c r="N77" s="6">
        <f t="shared" si="32"/>
        <v>-6.5200000000000008E-2</v>
      </c>
      <c r="O77" s="11"/>
      <c r="P77" s="7">
        <v>2804.4</v>
      </c>
      <c r="Q77" s="2"/>
      <c r="R77" s="6">
        <f t="shared" si="33"/>
        <v>1.1575114066095622E-3</v>
      </c>
      <c r="S77" s="2"/>
      <c r="T77" s="7">
        <v>3000</v>
      </c>
      <c r="U77" s="2"/>
      <c r="V77" s="6">
        <f t="shared" si="34"/>
        <v>1.4246746043203732E-3</v>
      </c>
      <c r="W77" s="2"/>
      <c r="X77" s="7">
        <f t="shared" si="35"/>
        <v>-195.59999999999991</v>
      </c>
      <c r="Y77" s="2"/>
      <c r="Z77" s="6">
        <f t="shared" si="36"/>
        <v>-6.5199999999999966E-2</v>
      </c>
    </row>
    <row r="78" spans="1:26" s="25" customFormat="1" outlineLevel="1" collapsed="1" x14ac:dyDescent="0.25">
      <c r="A78" s="27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SUM(OSRRefD22_4x_0)</f>
        <v>0</v>
      </c>
      <c r="E78" s="1"/>
      <c r="F78" s="5">
        <f t="shared" si="29"/>
        <v>0</v>
      </c>
      <c r="G78" s="1"/>
      <c r="H78" s="1">
        <f>SUM(OSRRefH22_4x_0)</f>
        <v>4314</v>
      </c>
      <c r="I78" s="1"/>
      <c r="J78" s="5">
        <f t="shared" si="30"/>
        <v>1.5904675178162592E-2</v>
      </c>
      <c r="K78" s="1"/>
      <c r="L78" s="1">
        <f t="shared" si="31"/>
        <v>-4314</v>
      </c>
      <c r="M78" s="1"/>
      <c r="N78" s="5">
        <f t="shared" si="32"/>
        <v>-1</v>
      </c>
      <c r="O78" s="13"/>
      <c r="P78" s="1">
        <f>SUM(OSRRefP22_4x_0)</f>
        <v>0</v>
      </c>
      <c r="Q78" s="1"/>
      <c r="R78" s="5">
        <f t="shared" si="33"/>
        <v>0</v>
      </c>
      <c r="S78" s="1"/>
      <c r="T78" s="1">
        <f>SUM(OSRRefT22_4x_0)</f>
        <v>33492</v>
      </c>
      <c r="U78" s="1"/>
      <c r="V78" s="5">
        <f t="shared" si="34"/>
        <v>1.5905067282632648E-2</v>
      </c>
      <c r="W78" s="1"/>
      <c r="X78" s="1">
        <f t="shared" si="35"/>
        <v>-33492</v>
      </c>
      <c r="Y78" s="1"/>
      <c r="Z78" s="5">
        <f t="shared" si="36"/>
        <v>-1</v>
      </c>
    </row>
    <row r="79" spans="1:26" s="24" customFormat="1" hidden="1" outlineLevel="2" x14ac:dyDescent="0.25">
      <c r="A79" s="26"/>
      <c r="B79" s="11" t="str">
        <f>CONCATENATE("          ", "6382", " - ", "DISCOUNTS/MARK DOWNS")</f>
        <v xml:space="preserve">          6382 - DISCOUNTS/MARK DOWNS</v>
      </c>
      <c r="C79" s="11"/>
      <c r="D79" s="7">
        <v>0</v>
      </c>
      <c r="E79" s="2"/>
      <c r="F79" s="6">
        <f t="shared" si="29"/>
        <v>0</v>
      </c>
      <c r="G79" s="2"/>
      <c r="H79" s="7">
        <v>4314</v>
      </c>
      <c r="I79" s="2"/>
      <c r="J79" s="6">
        <f t="shared" si="30"/>
        <v>1.5904675178162592E-2</v>
      </c>
      <c r="K79" s="2"/>
      <c r="L79" s="7">
        <f t="shared" si="31"/>
        <v>-4314</v>
      </c>
      <c r="M79" s="2"/>
      <c r="N79" s="6">
        <f t="shared" si="32"/>
        <v>-1</v>
      </c>
      <c r="O79" s="11"/>
      <c r="P79" s="7">
        <v>0</v>
      </c>
      <c r="Q79" s="2"/>
      <c r="R79" s="6">
        <f t="shared" si="33"/>
        <v>0</v>
      </c>
      <c r="S79" s="2"/>
      <c r="T79" s="7">
        <v>33492</v>
      </c>
      <c r="U79" s="2"/>
      <c r="V79" s="6">
        <f t="shared" si="34"/>
        <v>1.5905067282632648E-2</v>
      </c>
      <c r="W79" s="2"/>
      <c r="X79" s="7">
        <f t="shared" si="35"/>
        <v>-33492</v>
      </c>
      <c r="Y79" s="2"/>
      <c r="Z79" s="6">
        <f t="shared" si="36"/>
        <v>-1</v>
      </c>
    </row>
    <row r="80" spans="1:26" s="25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SUM(OSRRefD22_5x_0)</f>
        <v>0</v>
      </c>
      <c r="E80" s="1"/>
      <c r="F80" s="5">
        <f t="shared" si="29"/>
        <v>0</v>
      </c>
      <c r="G80" s="1"/>
      <c r="H80" s="1">
        <f>SUM(OSRRefH22_5x_0)</f>
        <v>20</v>
      </c>
      <c r="I80" s="1"/>
      <c r="J80" s="5">
        <f t="shared" si="30"/>
        <v>7.3735165406409799E-5</v>
      </c>
      <c r="K80" s="1"/>
      <c r="L80" s="1">
        <f t="shared" si="31"/>
        <v>-20</v>
      </c>
      <c r="M80" s="1"/>
      <c r="N80" s="5">
        <f t="shared" si="32"/>
        <v>-1</v>
      </c>
      <c r="O80" s="13"/>
      <c r="P80" s="1">
        <f>SUM(OSRRefP22_5x_0)</f>
        <v>0</v>
      </c>
      <c r="Q80" s="1"/>
      <c r="R80" s="5">
        <f t="shared" si="33"/>
        <v>0</v>
      </c>
      <c r="S80" s="1"/>
      <c r="T80" s="1">
        <f>SUM(OSRRefT22_5x_0)</f>
        <v>200</v>
      </c>
      <c r="U80" s="1"/>
      <c r="V80" s="5">
        <f t="shared" si="34"/>
        <v>9.4978306954691548E-5</v>
      </c>
      <c r="W80" s="1"/>
      <c r="X80" s="1">
        <f t="shared" si="35"/>
        <v>-200</v>
      </c>
      <c r="Y80" s="1"/>
      <c r="Z80" s="5">
        <f t="shared" si="36"/>
        <v>-1</v>
      </c>
    </row>
    <row r="81" spans="1:26" s="24" customFormat="1" hidden="1" outlineLevel="2" x14ac:dyDescent="0.25">
      <c r="A81" s="26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>
        <v>20</v>
      </c>
      <c r="I81" s="2"/>
      <c r="J81" s="6">
        <f t="shared" si="30"/>
        <v>7.3735165406409799E-5</v>
      </c>
      <c r="K81" s="2"/>
      <c r="L81" s="7">
        <f t="shared" si="31"/>
        <v>-20</v>
      </c>
      <c r="M81" s="2"/>
      <c r="N81" s="6">
        <f t="shared" si="32"/>
        <v>-1</v>
      </c>
      <c r="O81" s="11"/>
      <c r="P81" s="7"/>
      <c r="Q81" s="2"/>
      <c r="R81" s="6">
        <f t="shared" si="33"/>
        <v>0</v>
      </c>
      <c r="S81" s="2"/>
      <c r="T81" s="7">
        <v>200</v>
      </c>
      <c r="U81" s="2"/>
      <c r="V81" s="6">
        <f t="shared" si="34"/>
        <v>9.4978306954691548E-5</v>
      </c>
      <c r="W81" s="2"/>
      <c r="X81" s="7">
        <f t="shared" si="35"/>
        <v>-200</v>
      </c>
      <c r="Y81" s="2"/>
      <c r="Z81" s="6">
        <f t="shared" si="36"/>
        <v>-1</v>
      </c>
    </row>
    <row r="82" spans="1:26" s="25" customFormat="1" outlineLevel="1" collapsed="1" x14ac:dyDescent="0.25">
      <c r="A82" s="27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SUM(OSRRefD22_6x_0)</f>
        <v>26.99</v>
      </c>
      <c r="E82" s="1"/>
      <c r="F82" s="5">
        <f t="shared" si="29"/>
        <v>6.693492883321632E-5</v>
      </c>
      <c r="G82" s="1"/>
      <c r="H82" s="1">
        <f>SUM(OSRRefH22_6x_0)</f>
        <v>15</v>
      </c>
      <c r="I82" s="1"/>
      <c r="J82" s="5">
        <f t="shared" si="30"/>
        <v>5.5301374054807349E-5</v>
      </c>
      <c r="K82" s="1"/>
      <c r="L82" s="1">
        <f t="shared" si="31"/>
        <v>11.989999999999998</v>
      </c>
      <c r="M82" s="1"/>
      <c r="N82" s="5">
        <f t="shared" si="32"/>
        <v>0.79933333333333323</v>
      </c>
      <c r="O82" s="13"/>
      <c r="P82" s="1">
        <f>SUM(OSRRefP22_6x_0)</f>
        <v>1641.28</v>
      </c>
      <c r="Q82" s="1"/>
      <c r="R82" s="5">
        <f t="shared" si="33"/>
        <v>6.7743557318504565E-4</v>
      </c>
      <c r="S82" s="1"/>
      <c r="T82" s="1">
        <f>SUM(OSRRefT22_6x_0)</f>
        <v>150</v>
      </c>
      <c r="U82" s="1"/>
      <c r="V82" s="5">
        <f t="shared" si="34"/>
        <v>7.1233730216018661E-5</v>
      </c>
      <c r="W82" s="1"/>
      <c r="X82" s="1">
        <f t="shared" si="35"/>
        <v>1491.28</v>
      </c>
      <c r="Y82" s="1"/>
      <c r="Z82" s="5">
        <f t="shared" si="36"/>
        <v>9.941866666666666</v>
      </c>
    </row>
    <row r="83" spans="1:26" s="24" customFormat="1" hidden="1" outlineLevel="2" x14ac:dyDescent="0.25">
      <c r="A83" s="26"/>
      <c r="B83" s="11" t="str">
        <f>CONCATENATE("          ", "6305", " - ", "FREIGHT OUT")</f>
        <v xml:space="preserve">          6305 - FREIGHT OUT</v>
      </c>
      <c r="C83" s="11"/>
      <c r="D83" s="7">
        <v>26.99</v>
      </c>
      <c r="E83" s="2"/>
      <c r="F83" s="6">
        <f t="shared" si="29"/>
        <v>6.693492883321632E-5</v>
      </c>
      <c r="G83" s="2"/>
      <c r="H83" s="7">
        <v>15</v>
      </c>
      <c r="I83" s="2"/>
      <c r="J83" s="6">
        <f t="shared" si="30"/>
        <v>5.5301374054807349E-5</v>
      </c>
      <c r="K83" s="2"/>
      <c r="L83" s="7">
        <f t="shared" si="31"/>
        <v>11.989999999999998</v>
      </c>
      <c r="M83" s="2"/>
      <c r="N83" s="6">
        <f t="shared" si="32"/>
        <v>0.79933333333333323</v>
      </c>
      <c r="O83" s="11"/>
      <c r="P83" s="7">
        <v>1628.68</v>
      </c>
      <c r="Q83" s="2"/>
      <c r="R83" s="6">
        <f t="shared" si="33"/>
        <v>6.7223494427216574E-4</v>
      </c>
      <c r="S83" s="2"/>
      <c r="T83" s="7">
        <v>150</v>
      </c>
      <c r="U83" s="2"/>
      <c r="V83" s="6">
        <f t="shared" si="34"/>
        <v>7.1233730216018661E-5</v>
      </c>
      <c r="W83" s="2"/>
      <c r="X83" s="7">
        <f t="shared" si="35"/>
        <v>1478.68</v>
      </c>
      <c r="Y83" s="2"/>
      <c r="Z83" s="6">
        <f t="shared" si="36"/>
        <v>9.8578666666666663</v>
      </c>
    </row>
    <row r="84" spans="1:26" s="24" customFormat="1" hidden="1" outlineLevel="2" x14ac:dyDescent="0.25">
      <c r="A84" s="26"/>
      <c r="B84" s="11" t="str">
        <f>CONCATENATE("          ", "6307", " - ", "POSTAGE")</f>
        <v xml:space="preserve">          6307 - POSTAGE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12.6</v>
      </c>
      <c r="Q84" s="2"/>
      <c r="R84" s="6">
        <f t="shared" si="33"/>
        <v>5.2006289128799322E-6</v>
      </c>
      <c r="S84" s="2"/>
      <c r="T84" s="7"/>
      <c r="U84" s="2"/>
      <c r="V84" s="6">
        <f t="shared" si="34"/>
        <v>0</v>
      </c>
      <c r="W84" s="2"/>
      <c r="X84" s="7">
        <f t="shared" si="35"/>
        <v>12.6</v>
      </c>
      <c r="Y84" s="2"/>
      <c r="Z84" s="6">
        <f t="shared" si="36"/>
        <v>0</v>
      </c>
    </row>
    <row r="85" spans="1:26" s="25" customFormat="1" outlineLevel="1" collapsed="1" x14ac:dyDescent="0.25">
      <c r="A85" s="27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SUM(OSRRefD22_7x_0)</f>
        <v>0</v>
      </c>
      <c r="E85" s="1"/>
      <c r="F85" s="5">
        <f t="shared" ref="F85:F91" si="37">IF(D$12=0,0,D85/D$12)</f>
        <v>0</v>
      </c>
      <c r="G85" s="1"/>
      <c r="H85" s="1">
        <f>SUM(OSRRefH22_7x_0)</f>
        <v>30</v>
      </c>
      <c r="I85" s="1"/>
      <c r="J85" s="5">
        <f t="shared" ref="J85:J91" si="38">IF(H$12=0,0,H85/H$12)</f>
        <v>1.106027481096147E-4</v>
      </c>
      <c r="K85" s="1"/>
      <c r="L85" s="1">
        <f t="shared" ref="L85:L91" si="39">+D85-H85</f>
        <v>-30</v>
      </c>
      <c r="M85" s="1"/>
      <c r="N85" s="5">
        <f t="shared" ref="N85:N91" si="40">IF(H85=0,0,L85/H85)</f>
        <v>-1</v>
      </c>
      <c r="O85" s="13"/>
      <c r="P85" s="1">
        <f>SUM(OSRRefP22_7x_0)</f>
        <v>-30.15</v>
      </c>
      <c r="Q85" s="1"/>
      <c r="R85" s="5">
        <f t="shared" ref="R85:R91" si="41">IF(P$12=0,0,P85/P$12)</f>
        <v>-1.2444362041534123E-5</v>
      </c>
      <c r="S85" s="1"/>
      <c r="T85" s="1">
        <f>SUM(OSRRefT22_7x_0)</f>
        <v>300</v>
      </c>
      <c r="U85" s="1"/>
      <c r="V85" s="5">
        <f t="shared" ref="V85:V91" si="42">IF(T$12=0,0,T85/T$12)</f>
        <v>1.4246746043203732E-4</v>
      </c>
      <c r="W85" s="1"/>
      <c r="X85" s="1">
        <f t="shared" ref="X85:X91" si="43">+P85-T85</f>
        <v>-330.15</v>
      </c>
      <c r="Y85" s="1"/>
      <c r="Z85" s="5">
        <f t="shared" ref="Z85:Z91" si="44">IF(T85=0,0,X85/T85)</f>
        <v>-1.1005</v>
      </c>
    </row>
    <row r="86" spans="1:26" s="24" customFormat="1" hidden="1" outlineLevel="2" x14ac:dyDescent="0.25">
      <c r="A86" s="26"/>
      <c r="B86" s="11" t="str">
        <f>CONCATENATE("          ", "6279", " - ", "GENERAL EXPENSE")</f>
        <v xml:space="preserve">          6279 - GENERAL EXPENSE</v>
      </c>
      <c r="C86" s="11"/>
      <c r="D86" s="7"/>
      <c r="E86" s="2"/>
      <c r="F86" s="6">
        <f t="shared" si="37"/>
        <v>0</v>
      </c>
      <c r="G86" s="2"/>
      <c r="H86" s="7">
        <v>30</v>
      </c>
      <c r="I86" s="2"/>
      <c r="J86" s="6">
        <f t="shared" si="38"/>
        <v>1.106027481096147E-4</v>
      </c>
      <c r="K86" s="2"/>
      <c r="L86" s="7">
        <f t="shared" si="39"/>
        <v>-30</v>
      </c>
      <c r="M86" s="2"/>
      <c r="N86" s="6">
        <f t="shared" si="40"/>
        <v>-1</v>
      </c>
      <c r="O86" s="11"/>
      <c r="P86" s="7">
        <v>-30.15</v>
      </c>
      <c r="Q86" s="2"/>
      <c r="R86" s="6">
        <f t="shared" si="41"/>
        <v>-1.2444362041534123E-5</v>
      </c>
      <c r="S86" s="2"/>
      <c r="T86" s="7">
        <v>300</v>
      </c>
      <c r="U86" s="2"/>
      <c r="V86" s="6">
        <f t="shared" si="42"/>
        <v>1.4246746043203732E-4</v>
      </c>
      <c r="W86" s="2"/>
      <c r="X86" s="7">
        <f t="shared" si="43"/>
        <v>-330.15</v>
      </c>
      <c r="Y86" s="2"/>
      <c r="Z86" s="6">
        <f t="shared" si="44"/>
        <v>-1.1005</v>
      </c>
    </row>
    <row r="87" spans="1:26" s="25" customFormat="1" outlineLevel="1" collapsed="1" x14ac:dyDescent="0.25">
      <c r="A87" s="27"/>
      <c r="B87" s="13" t="str">
        <f>CONCATENATE("     ","Inventory Adjustment                              ")</f>
        <v xml:space="preserve">     Inventory Adjustment                              </v>
      </c>
      <c r="C87" s="13"/>
      <c r="D87" s="1">
        <f>SUM(OSRRefD22_8x_0)</f>
        <v>1250</v>
      </c>
      <c r="E87" s="1"/>
      <c r="F87" s="5">
        <f t="shared" si="37"/>
        <v>3.0999874413308783E-3</v>
      </c>
      <c r="G87" s="1"/>
      <c r="H87" s="1">
        <f>SUM(OSRRefH22_8x_0)</f>
        <v>1250</v>
      </c>
      <c r="I87" s="1"/>
      <c r="J87" s="5">
        <f t="shared" si="38"/>
        <v>4.6084478379006125E-3</v>
      </c>
      <c r="K87" s="1"/>
      <c r="L87" s="1">
        <f t="shared" si="39"/>
        <v>0</v>
      </c>
      <c r="M87" s="1"/>
      <c r="N87" s="5">
        <f t="shared" si="40"/>
        <v>0</v>
      </c>
      <c r="O87" s="13"/>
      <c r="P87" s="1">
        <f>SUM(OSRRefP22_8x_0)</f>
        <v>12500</v>
      </c>
      <c r="Q87" s="1"/>
      <c r="R87" s="5">
        <f t="shared" si="41"/>
        <v>5.1593540802380286E-3</v>
      </c>
      <c r="S87" s="1"/>
      <c r="T87" s="1">
        <f>SUM(OSRRefT22_8x_0)</f>
        <v>12500</v>
      </c>
      <c r="U87" s="1"/>
      <c r="V87" s="5">
        <f t="shared" si="42"/>
        <v>5.9361441846682217E-3</v>
      </c>
      <c r="W87" s="1"/>
      <c r="X87" s="1">
        <f t="shared" si="43"/>
        <v>0</v>
      </c>
      <c r="Y87" s="1"/>
      <c r="Z87" s="5">
        <f t="shared" si="44"/>
        <v>0</v>
      </c>
    </row>
    <row r="88" spans="1:26" s="24" customFormat="1" hidden="1" outlineLevel="2" x14ac:dyDescent="0.25">
      <c r="A88" s="26"/>
      <c r="B88" s="11" t="str">
        <f>CONCATENATE("          ", "6408", " - ", "INVENTORY ADJUSTMENT")</f>
        <v xml:space="preserve">          6408 - INVENTORY ADJUSTMENT</v>
      </c>
      <c r="C88" s="11"/>
      <c r="D88" s="7">
        <v>1250</v>
      </c>
      <c r="E88" s="2"/>
      <c r="F88" s="6">
        <f t="shared" si="37"/>
        <v>3.0999874413308783E-3</v>
      </c>
      <c r="G88" s="2"/>
      <c r="H88" s="7">
        <v>1250</v>
      </c>
      <c r="I88" s="2"/>
      <c r="J88" s="6">
        <f t="shared" si="38"/>
        <v>4.6084478379006125E-3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>
        <v>12500</v>
      </c>
      <c r="Q88" s="2"/>
      <c r="R88" s="6">
        <f t="shared" si="41"/>
        <v>5.1593540802380286E-3</v>
      </c>
      <c r="S88" s="2"/>
      <c r="T88" s="7">
        <v>12500</v>
      </c>
      <c r="U88" s="2"/>
      <c r="V88" s="6">
        <f t="shared" si="42"/>
        <v>5.9361441846682217E-3</v>
      </c>
      <c r="W88" s="2"/>
      <c r="X88" s="7">
        <f t="shared" si="43"/>
        <v>0</v>
      </c>
      <c r="Y88" s="2"/>
      <c r="Z88" s="6">
        <f t="shared" si="44"/>
        <v>0</v>
      </c>
    </row>
    <row r="89" spans="1:26" s="25" customFormat="1" outlineLevel="1" collapsed="1" x14ac:dyDescent="0.25">
      <c r="A89" s="27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SUM(OSRRefD22_9x_0)</f>
        <v>0</v>
      </c>
      <c r="E89" s="1"/>
      <c r="F89" s="5">
        <f t="shared" si="37"/>
        <v>0</v>
      </c>
      <c r="G89" s="1"/>
      <c r="H89" s="1">
        <f>SUM(OSRRefH22_9x_0)</f>
        <v>20</v>
      </c>
      <c r="I89" s="1"/>
      <c r="J89" s="5">
        <f t="shared" si="38"/>
        <v>7.3735165406409799E-5</v>
      </c>
      <c r="K89" s="1"/>
      <c r="L89" s="1">
        <f t="shared" si="39"/>
        <v>-20</v>
      </c>
      <c r="M89" s="1"/>
      <c r="N89" s="5">
        <f t="shared" si="40"/>
        <v>-1</v>
      </c>
      <c r="O89" s="13"/>
      <c r="P89" s="1">
        <f>SUM(OSRRefP22_9x_0)</f>
        <v>1550</v>
      </c>
      <c r="Q89" s="1"/>
      <c r="R89" s="5">
        <f t="shared" si="41"/>
        <v>6.3975990594951555E-4</v>
      </c>
      <c r="S89" s="1"/>
      <c r="T89" s="1">
        <f>SUM(OSRRefT22_9x_0)</f>
        <v>205</v>
      </c>
      <c r="U89" s="1"/>
      <c r="V89" s="5">
        <f t="shared" si="42"/>
        <v>9.7352764628558832E-5</v>
      </c>
      <c r="W89" s="1"/>
      <c r="X89" s="1">
        <f t="shared" si="43"/>
        <v>1345</v>
      </c>
      <c r="Y89" s="1"/>
      <c r="Z89" s="5">
        <f t="shared" si="44"/>
        <v>6.5609756097560972</v>
      </c>
    </row>
    <row r="90" spans="1:26" s="24" customFormat="1" hidden="1" outlineLevel="2" x14ac:dyDescent="0.25">
      <c r="A90" s="26"/>
      <c r="B90" s="11" t="str">
        <f>CONCATENATE("          ", "6371", " - ", "COMPUTER SOFTWARE MAINTENANCE")</f>
        <v xml:space="preserve">          6371 - COMPUTER SOFTWARE MAINTENANCE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1550</v>
      </c>
      <c r="Q90" s="2"/>
      <c r="R90" s="6">
        <f t="shared" si="41"/>
        <v>6.3975990594951555E-4</v>
      </c>
      <c r="S90" s="2"/>
      <c r="T90" s="7"/>
      <c r="U90" s="2"/>
      <c r="V90" s="6">
        <f t="shared" si="42"/>
        <v>0</v>
      </c>
      <c r="W90" s="2"/>
      <c r="X90" s="7">
        <f t="shared" si="43"/>
        <v>1550</v>
      </c>
      <c r="Y90" s="2"/>
      <c r="Z90" s="6">
        <f t="shared" si="44"/>
        <v>0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7"/>
        <v>0</v>
      </c>
      <c r="G91" s="2"/>
      <c r="H91" s="7">
        <v>20</v>
      </c>
      <c r="I91" s="2"/>
      <c r="J91" s="6">
        <f t="shared" si="38"/>
        <v>7.3735165406409799E-5</v>
      </c>
      <c r="K91" s="2"/>
      <c r="L91" s="7">
        <f t="shared" si="39"/>
        <v>-20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205</v>
      </c>
      <c r="U91" s="2"/>
      <c r="V91" s="6">
        <f t="shared" si="42"/>
        <v>9.7352764628558832E-5</v>
      </c>
      <c r="W91" s="2"/>
      <c r="X91" s="7">
        <f t="shared" si="43"/>
        <v>-205</v>
      </c>
      <c r="Y91" s="2"/>
      <c r="Z91" s="6">
        <f t="shared" si="44"/>
        <v>-1</v>
      </c>
    </row>
    <row r="92" spans="1:26" s="25" customFormat="1" outlineLevel="1" collapsed="1" x14ac:dyDescent="0.25">
      <c r="A92" s="27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SUM(OSRRefD22_10x_0)</f>
        <v>142.22</v>
      </c>
      <c r="E92" s="1"/>
      <c r="F92" s="5">
        <f t="shared" ref="F92:F98" si="45">IF(D$12=0,0,D92/D$12)</f>
        <v>3.5270417112486196E-4</v>
      </c>
      <c r="G92" s="1"/>
      <c r="H92" s="1">
        <f>SUM(OSRRefH22_10x_0)</f>
        <v>0</v>
      </c>
      <c r="I92" s="1"/>
      <c r="J92" s="5">
        <f t="shared" ref="J92:J98" si="46">IF(H$12=0,0,H92/H$12)</f>
        <v>0</v>
      </c>
      <c r="K92" s="1"/>
      <c r="L92" s="1">
        <f t="shared" ref="L92:L98" si="47">+D92-H92</f>
        <v>142.22</v>
      </c>
      <c r="M92" s="1"/>
      <c r="N92" s="5">
        <f t="shared" ref="N92:N98" si="48">IF(H92=0,0,L92/H92)</f>
        <v>0</v>
      </c>
      <c r="O92" s="13"/>
      <c r="P92" s="1">
        <f>SUM(OSRRefP22_10x_0)</f>
        <v>142.22</v>
      </c>
      <c r="Q92" s="1"/>
      <c r="R92" s="5">
        <f t="shared" ref="R92:R98" si="49">IF(P$12=0,0,P92/P$12)</f>
        <v>5.8701066983316191E-5</v>
      </c>
      <c r="S92" s="1"/>
      <c r="T92" s="1">
        <f>SUM(OSRRefT22_10x_0)</f>
        <v>0</v>
      </c>
      <c r="U92" s="1"/>
      <c r="V92" s="5">
        <f t="shared" ref="V92:V98" si="50">IF(T$12=0,0,T92/T$12)</f>
        <v>0</v>
      </c>
      <c r="W92" s="1"/>
      <c r="X92" s="1">
        <f t="shared" ref="X92:X98" si="51">+P92-T92</f>
        <v>142.22</v>
      </c>
      <c r="Y92" s="1"/>
      <c r="Z92" s="5">
        <f t="shared" ref="Z92:Z98" si="52">IF(T92=0,0,X92/T92)</f>
        <v>0</v>
      </c>
    </row>
    <row r="93" spans="1:26" s="24" customFormat="1" hidden="1" outlineLevel="2" x14ac:dyDescent="0.25">
      <c r="A93" s="26"/>
      <c r="B93" s="11" t="str">
        <f>CONCATENATE("          ", "6275", " - ", "SUBSCRIPTIONS")</f>
        <v xml:space="preserve">          6275 - SUBSCRIPTIONS</v>
      </c>
      <c r="C93" s="11"/>
      <c r="D93" s="7">
        <v>142.22</v>
      </c>
      <c r="E93" s="2"/>
      <c r="F93" s="6">
        <f t="shared" si="45"/>
        <v>3.5270417112486196E-4</v>
      </c>
      <c r="G93" s="2"/>
      <c r="H93" s="7"/>
      <c r="I93" s="2"/>
      <c r="J93" s="6">
        <f t="shared" si="46"/>
        <v>0</v>
      </c>
      <c r="K93" s="2"/>
      <c r="L93" s="7">
        <f t="shared" si="47"/>
        <v>142.22</v>
      </c>
      <c r="M93" s="2"/>
      <c r="N93" s="6">
        <f t="shared" si="48"/>
        <v>0</v>
      </c>
      <c r="O93" s="11"/>
      <c r="P93" s="7">
        <v>142.22</v>
      </c>
      <c r="Q93" s="2"/>
      <c r="R93" s="6">
        <f t="shared" si="49"/>
        <v>5.8701066983316191E-5</v>
      </c>
      <c r="S93" s="2"/>
      <c r="T93" s="7"/>
      <c r="U93" s="2"/>
      <c r="V93" s="6">
        <f t="shared" si="50"/>
        <v>0</v>
      </c>
      <c r="W93" s="2"/>
      <c r="X93" s="7">
        <f t="shared" si="51"/>
        <v>142.22</v>
      </c>
      <c r="Y93" s="2"/>
      <c r="Z93" s="6">
        <f t="shared" si="52"/>
        <v>0</v>
      </c>
    </row>
    <row r="94" spans="1:26" s="25" customFormat="1" outlineLevel="1" collapsed="1" x14ac:dyDescent="0.25">
      <c r="A94" s="27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SUM(OSRRefD22_11x_0)</f>
        <v>19.559999999999999</v>
      </c>
      <c r="E94" s="1"/>
      <c r="F94" s="5">
        <f t="shared" si="45"/>
        <v>4.8508603481945579E-5</v>
      </c>
      <c r="G94" s="1"/>
      <c r="H94" s="1">
        <f>SUM(OSRRefH22_11x_0)</f>
        <v>310</v>
      </c>
      <c r="I94" s="1"/>
      <c r="J94" s="5">
        <f t="shared" si="46"/>
        <v>1.1428950637993518E-3</v>
      </c>
      <c r="K94" s="1"/>
      <c r="L94" s="1">
        <f t="shared" si="47"/>
        <v>-290.44</v>
      </c>
      <c r="M94" s="1"/>
      <c r="N94" s="5">
        <f t="shared" si="48"/>
        <v>-0.93690322580645158</v>
      </c>
      <c r="O94" s="13"/>
      <c r="P94" s="1">
        <f>SUM(OSRRefP22_11x_0)</f>
        <v>3831.65</v>
      </c>
      <c r="Q94" s="1"/>
      <c r="R94" s="5">
        <f t="shared" si="49"/>
        <v>1.5815071249235234E-3</v>
      </c>
      <c r="S94" s="1"/>
      <c r="T94" s="1">
        <f>SUM(OSRRefT22_11x_0)</f>
        <v>3100</v>
      </c>
      <c r="U94" s="1"/>
      <c r="V94" s="5">
        <f t="shared" si="50"/>
        <v>1.472163757797719E-3</v>
      </c>
      <c r="W94" s="1"/>
      <c r="X94" s="1">
        <f t="shared" si="51"/>
        <v>731.65000000000009</v>
      </c>
      <c r="Y94" s="1"/>
      <c r="Z94" s="5">
        <f t="shared" si="52"/>
        <v>0.2360161290322581</v>
      </c>
    </row>
    <row r="95" spans="1:26" s="24" customFormat="1" hidden="1" outlineLevel="2" x14ac:dyDescent="0.25">
      <c r="A95" s="26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1733.49</v>
      </c>
      <c r="Q95" s="2"/>
      <c r="R95" s="6">
        <f t="shared" si="49"/>
        <v>7.1549509636414552E-4</v>
      </c>
      <c r="S95" s="2"/>
      <c r="T95" s="7"/>
      <c r="U95" s="2"/>
      <c r="V95" s="6">
        <f t="shared" si="50"/>
        <v>0</v>
      </c>
      <c r="W95" s="2"/>
      <c r="X95" s="7">
        <f t="shared" si="51"/>
        <v>1733.49</v>
      </c>
      <c r="Y95" s="2"/>
      <c r="Z95" s="6">
        <f t="shared" si="52"/>
        <v>0</v>
      </c>
    </row>
    <row r="96" spans="1:26" s="24" customFormat="1" hidden="1" outlineLevel="2" x14ac:dyDescent="0.25">
      <c r="A96" s="26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45"/>
        <v>0</v>
      </c>
      <c r="G96" s="2"/>
      <c r="H96" s="7"/>
      <c r="I96" s="2"/>
      <c r="J96" s="6">
        <f t="shared" si="46"/>
        <v>0</v>
      </c>
      <c r="K96" s="2"/>
      <c r="L96" s="7">
        <f t="shared" si="47"/>
        <v>0</v>
      </c>
      <c r="M96" s="2"/>
      <c r="N96" s="6">
        <f t="shared" si="48"/>
        <v>0</v>
      </c>
      <c r="O96" s="11"/>
      <c r="P96" s="7">
        <v>668.12</v>
      </c>
      <c r="Q96" s="2"/>
      <c r="R96" s="6">
        <f t="shared" si="49"/>
        <v>2.7576541184709053E-4</v>
      </c>
      <c r="S96" s="2"/>
      <c r="T96" s="7"/>
      <c r="U96" s="2"/>
      <c r="V96" s="6">
        <f t="shared" si="50"/>
        <v>0</v>
      </c>
      <c r="W96" s="2"/>
      <c r="X96" s="7">
        <f t="shared" si="51"/>
        <v>668.12</v>
      </c>
      <c r="Y96" s="2"/>
      <c r="Z96" s="6">
        <f t="shared" si="52"/>
        <v>0</v>
      </c>
    </row>
    <row r="97" spans="1:26" s="24" customFormat="1" hidden="1" outlineLevel="2" x14ac:dyDescent="0.25">
      <c r="A97" s="26"/>
      <c r="B97" s="11" t="str">
        <f>CONCATENATE("          ", "6241", " - ", "OFFICE EXPENSE")</f>
        <v xml:space="preserve">          6241 - OFFICE EXPENSE</v>
      </c>
      <c r="C97" s="11"/>
      <c r="D97" s="7">
        <v>19.559999999999999</v>
      </c>
      <c r="E97" s="2"/>
      <c r="F97" s="6">
        <f t="shared" si="45"/>
        <v>4.8508603481945579E-5</v>
      </c>
      <c r="G97" s="2"/>
      <c r="H97" s="7">
        <v>110</v>
      </c>
      <c r="I97" s="2"/>
      <c r="J97" s="6">
        <f t="shared" si="46"/>
        <v>4.0554340973525388E-4</v>
      </c>
      <c r="K97" s="2"/>
      <c r="L97" s="7">
        <f t="shared" si="47"/>
        <v>-90.44</v>
      </c>
      <c r="M97" s="2"/>
      <c r="N97" s="6">
        <f t="shared" si="48"/>
        <v>-0.82218181818181812</v>
      </c>
      <c r="O97" s="11"/>
      <c r="P97" s="7">
        <v>1430.04</v>
      </c>
      <c r="Q97" s="2"/>
      <c r="R97" s="6">
        <f t="shared" si="49"/>
        <v>5.9024661671228714E-4</v>
      </c>
      <c r="S97" s="2"/>
      <c r="T97" s="7">
        <v>1100</v>
      </c>
      <c r="U97" s="2"/>
      <c r="V97" s="6">
        <f t="shared" si="50"/>
        <v>5.2238068825080349E-4</v>
      </c>
      <c r="W97" s="2"/>
      <c r="X97" s="7">
        <f t="shared" si="51"/>
        <v>330.03999999999996</v>
      </c>
      <c r="Y97" s="2"/>
      <c r="Z97" s="6">
        <f t="shared" si="52"/>
        <v>0.3000363636363636</v>
      </c>
    </row>
    <row r="98" spans="1:26" s="24" customFormat="1" hidden="1" outlineLevel="2" x14ac:dyDescent="0.25">
      <c r="A98" s="26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45"/>
        <v>0</v>
      </c>
      <c r="G98" s="2"/>
      <c r="H98" s="7">
        <v>200</v>
      </c>
      <c r="I98" s="2"/>
      <c r="J98" s="6">
        <f t="shared" si="46"/>
        <v>7.3735165406409793E-4</v>
      </c>
      <c r="K98" s="2"/>
      <c r="L98" s="7">
        <f t="shared" si="47"/>
        <v>-200</v>
      </c>
      <c r="M98" s="2"/>
      <c r="N98" s="6">
        <f t="shared" si="48"/>
        <v>-1</v>
      </c>
      <c r="O98" s="11"/>
      <c r="P98" s="7"/>
      <c r="Q98" s="2"/>
      <c r="R98" s="6">
        <f t="shared" si="49"/>
        <v>0</v>
      </c>
      <c r="S98" s="2"/>
      <c r="T98" s="7">
        <v>2000</v>
      </c>
      <c r="U98" s="2"/>
      <c r="V98" s="6">
        <f t="shared" si="50"/>
        <v>9.4978306954691548E-4</v>
      </c>
      <c r="W98" s="2"/>
      <c r="X98" s="7">
        <f t="shared" si="51"/>
        <v>-2000</v>
      </c>
      <c r="Y98" s="2"/>
      <c r="Z98" s="6">
        <f t="shared" si="52"/>
        <v>-1</v>
      </c>
    </row>
    <row r="99" spans="1:26" s="25" customFormat="1" outlineLevel="1" collapsed="1" x14ac:dyDescent="0.25">
      <c r="A99" s="27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271.3</v>
      </c>
      <c r="E99" s="1"/>
      <c r="F99" s="5">
        <f t="shared" ref="F99:F102" si="53">IF(D$12=0,0,D99/D$12)</f>
        <v>6.7282127426645383E-4</v>
      </c>
      <c r="G99" s="1"/>
      <c r="H99" s="1">
        <f>SUM(OSRRefH22_12x_0)</f>
        <v>250</v>
      </c>
      <c r="I99" s="1"/>
      <c r="J99" s="5">
        <f t="shared" ref="J99:J102" si="54">IF(H$12=0,0,H99/H$12)</f>
        <v>9.216895675801225E-4</v>
      </c>
      <c r="K99" s="1"/>
      <c r="L99" s="1">
        <f t="shared" ref="L99:L102" si="55">+D99-H99</f>
        <v>21.300000000000011</v>
      </c>
      <c r="M99" s="1"/>
      <c r="N99" s="5">
        <f t="shared" ref="N99:N102" si="56">IF(H99=0,0,L99/H99)</f>
        <v>8.520000000000004E-2</v>
      </c>
      <c r="O99" s="13"/>
      <c r="P99" s="1">
        <f>SUM(OSRRefP22_12x_0)</f>
        <v>2877.55</v>
      </c>
      <c r="Q99" s="1"/>
      <c r="R99" s="5">
        <f t="shared" ref="R99:R102" si="57">IF(P$12=0,0,P99/P$12)</f>
        <v>1.1877039466871152E-3</v>
      </c>
      <c r="S99" s="1"/>
      <c r="T99" s="1">
        <f>SUM(OSRRefT22_12x_0)</f>
        <v>2510</v>
      </c>
      <c r="U99" s="1"/>
      <c r="V99" s="5">
        <f t="shared" ref="V99:V102" si="58">IF(T$12=0,0,T99/T$12)</f>
        <v>1.191977752281379E-3</v>
      </c>
      <c r="W99" s="1"/>
      <c r="X99" s="1">
        <f t="shared" ref="X99:X102" si="59">+P99-T99</f>
        <v>367.55000000000018</v>
      </c>
      <c r="Y99" s="1"/>
      <c r="Z99" s="5">
        <f t="shared" ref="Z99:Z102" si="60">IF(T99=0,0,X99/T99)</f>
        <v>0.14643426294820724</v>
      </c>
    </row>
    <row r="100" spans="1:26" s="24" customFormat="1" hidden="1" outlineLevel="2" x14ac:dyDescent="0.25">
      <c r="A100" s="26"/>
      <c r="B100" s="11" t="str">
        <f>CONCATENATE("          ", "6309", " - ", "TELEPHONE")</f>
        <v xml:space="preserve">          6309 - TELEPHONE</v>
      </c>
      <c r="C100" s="11"/>
      <c r="D100" s="7">
        <v>271.3</v>
      </c>
      <c r="E100" s="2"/>
      <c r="F100" s="6">
        <f t="shared" si="53"/>
        <v>6.7282127426645383E-4</v>
      </c>
      <c r="G100" s="2"/>
      <c r="H100" s="7">
        <v>250</v>
      </c>
      <c r="I100" s="2"/>
      <c r="J100" s="6">
        <f t="shared" si="54"/>
        <v>9.216895675801225E-4</v>
      </c>
      <c r="K100" s="2"/>
      <c r="L100" s="7">
        <f t="shared" si="55"/>
        <v>21.300000000000011</v>
      </c>
      <c r="M100" s="2"/>
      <c r="N100" s="6">
        <f t="shared" si="56"/>
        <v>8.520000000000004E-2</v>
      </c>
      <c r="O100" s="11"/>
      <c r="P100" s="7">
        <v>2877.55</v>
      </c>
      <c r="Q100" s="2"/>
      <c r="R100" s="6">
        <f t="shared" si="57"/>
        <v>1.1877039466871152E-3</v>
      </c>
      <c r="S100" s="2"/>
      <c r="T100" s="7">
        <v>2510</v>
      </c>
      <c r="U100" s="2"/>
      <c r="V100" s="6">
        <f t="shared" si="58"/>
        <v>1.191977752281379E-3</v>
      </c>
      <c r="W100" s="2"/>
      <c r="X100" s="7">
        <f t="shared" si="59"/>
        <v>367.55000000000018</v>
      </c>
      <c r="Y100" s="2"/>
      <c r="Z100" s="6">
        <f t="shared" si="60"/>
        <v>0.14643426294820724</v>
      </c>
    </row>
    <row r="101" spans="1:26" s="25" customFormat="1" outlineLevel="1" collapsed="1" x14ac:dyDescent="0.25">
      <c r="A101" s="27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0</v>
      </c>
      <c r="E101" s="1"/>
      <c r="F101" s="5">
        <f t="shared" si="53"/>
        <v>0</v>
      </c>
      <c r="G101" s="1"/>
      <c r="H101" s="1">
        <f>SUM(OSRRefH22_13x_0)</f>
        <v>0</v>
      </c>
      <c r="I101" s="1"/>
      <c r="J101" s="5">
        <f t="shared" si="54"/>
        <v>0</v>
      </c>
      <c r="K101" s="1"/>
      <c r="L101" s="1">
        <f t="shared" si="55"/>
        <v>0</v>
      </c>
      <c r="M101" s="1"/>
      <c r="N101" s="5">
        <f t="shared" si="56"/>
        <v>0</v>
      </c>
      <c r="O101" s="13"/>
      <c r="P101" s="1">
        <f>SUM(OSRRefP22_13x_0)</f>
        <v>100</v>
      </c>
      <c r="Q101" s="1"/>
      <c r="R101" s="5">
        <f t="shared" si="57"/>
        <v>4.1274832641904228E-5</v>
      </c>
      <c r="S101" s="1"/>
      <c r="T101" s="1">
        <f>SUM(OSRRefT22_13x_0)</f>
        <v>2500</v>
      </c>
      <c r="U101" s="1"/>
      <c r="V101" s="5">
        <f t="shared" si="58"/>
        <v>1.1872288369336444E-3</v>
      </c>
      <c r="W101" s="1"/>
      <c r="X101" s="1">
        <f t="shared" si="59"/>
        <v>-2400</v>
      </c>
      <c r="Y101" s="1"/>
      <c r="Z101" s="5">
        <f t="shared" si="60"/>
        <v>-0.96</v>
      </c>
    </row>
    <row r="102" spans="1:26" s="24" customFormat="1" hidden="1" outlineLevel="2" x14ac:dyDescent="0.25">
      <c r="A102" s="26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53"/>
        <v>0</v>
      </c>
      <c r="G102" s="2"/>
      <c r="H102" s="7"/>
      <c r="I102" s="2"/>
      <c r="J102" s="6">
        <f t="shared" si="54"/>
        <v>0</v>
      </c>
      <c r="K102" s="2"/>
      <c r="L102" s="7">
        <f t="shared" si="55"/>
        <v>0</v>
      </c>
      <c r="M102" s="2"/>
      <c r="N102" s="6">
        <f t="shared" si="56"/>
        <v>0</v>
      </c>
      <c r="O102" s="11"/>
      <c r="P102" s="7">
        <v>100</v>
      </c>
      <c r="Q102" s="2"/>
      <c r="R102" s="6">
        <f t="shared" si="57"/>
        <v>4.1274832641904228E-5</v>
      </c>
      <c r="S102" s="2"/>
      <c r="T102" s="7">
        <v>2500</v>
      </c>
      <c r="U102" s="2"/>
      <c r="V102" s="6">
        <f t="shared" si="58"/>
        <v>1.1872288369336444E-3</v>
      </c>
      <c r="W102" s="2"/>
      <c r="X102" s="7">
        <f t="shared" si="59"/>
        <v>-2400</v>
      </c>
      <c r="Y102" s="2"/>
      <c r="Z102" s="6">
        <f t="shared" si="60"/>
        <v>-0.96</v>
      </c>
    </row>
    <row r="103" spans="1:26" s="61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293</v>
      </c>
      <c r="C104" s="10"/>
      <c r="D104" s="4">
        <f>SUM(OSRRefD25x_0)</f>
        <v>-23103.62</v>
      </c>
      <c r="E104" s="4"/>
      <c r="F104" s="12">
        <f t="shared" ref="F104:F106" si="61">IF(D$12=0,0,D104/D$12)</f>
        <v>-5.7296745479424718E-2</v>
      </c>
      <c r="G104" s="4"/>
      <c r="H104" s="4">
        <f>SUM(OSRRefH25x_0)</f>
        <v>2157</v>
      </c>
      <c r="I104" s="4"/>
      <c r="J104" s="12">
        <f t="shared" ref="J104:J106" si="62">IF(H$12=0,0,H104/H$12)</f>
        <v>7.9523375890812962E-3</v>
      </c>
      <c r="K104" s="4"/>
      <c r="L104" s="4">
        <f t="shared" ref="L104:L106" si="63">+D104-H104</f>
        <v>-25260.62</v>
      </c>
      <c r="M104" s="4"/>
      <c r="N104" s="12">
        <f t="shared" ref="N104:N106" si="64">IF(H104=0,0,L104/H104)</f>
        <v>-11.710996754751969</v>
      </c>
      <c r="O104" s="10"/>
      <c r="P104" s="4">
        <f>SUM(OSRRefP25x_0)</f>
        <v>3736.26</v>
      </c>
      <c r="Q104" s="4"/>
      <c r="R104" s="12">
        <f t="shared" ref="R104:R106" si="65">IF(P$12=0,0,P104/P$12)</f>
        <v>1.5421350620664109E-3</v>
      </c>
      <c r="S104" s="4"/>
      <c r="T104" s="4">
        <f>SUM(OSRRefT25x_0)</f>
        <v>16747</v>
      </c>
      <c r="U104" s="4"/>
      <c r="V104" s="12">
        <f t="shared" ref="V104:V106" si="66">IF(T$12=0,0,T104/T$12)</f>
        <v>7.9530085328510976E-3</v>
      </c>
      <c r="W104" s="4"/>
      <c r="X104" s="4">
        <f t="shared" ref="X104:X106" si="67">+P104-T104</f>
        <v>-13010.74</v>
      </c>
      <c r="Y104" s="4"/>
      <c r="Z104" s="12">
        <f t="shared" ref="Z104:Z106" si="68">IF(T104=0,0,X104/T104)</f>
        <v>-0.77689974323759481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--1700.99</f>
        <v>1700.99</v>
      </c>
      <c r="E105" s="2"/>
      <c r="F105" s="19">
        <f t="shared" si="61"/>
        <v>4.218438110263528E-3</v>
      </c>
      <c r="G105" s="2"/>
      <c r="H105" s="2"/>
      <c r="I105" s="2"/>
      <c r="J105" s="19">
        <f t="shared" si="62"/>
        <v>0</v>
      </c>
      <c r="K105" s="2"/>
      <c r="L105" s="2">
        <f t="shared" si="63"/>
        <v>1700.99</v>
      </c>
      <c r="M105" s="2"/>
      <c r="N105" s="19">
        <f t="shared" si="64"/>
        <v>0</v>
      </c>
      <c r="O105" s="11"/>
      <c r="P105" s="2">
        <f>--3315.96</f>
        <v>3315.96</v>
      </c>
      <c r="Q105" s="2"/>
      <c r="R105" s="19">
        <f t="shared" si="65"/>
        <v>1.3686569404724874E-3</v>
      </c>
      <c r="S105" s="2"/>
      <c r="T105" s="2"/>
      <c r="U105" s="2"/>
      <c r="V105" s="19">
        <f t="shared" si="66"/>
        <v>0</v>
      </c>
      <c r="W105" s="2"/>
      <c r="X105" s="2">
        <f t="shared" si="67"/>
        <v>3315.96</v>
      </c>
      <c r="Y105" s="2"/>
      <c r="Z105" s="19">
        <f t="shared" si="68"/>
        <v>0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-24804.61</f>
        <v>-24804.61</v>
      </c>
      <c r="E106" s="2"/>
      <c r="F106" s="19">
        <f t="shared" si="61"/>
        <v>-6.1515183589688251E-2</v>
      </c>
      <c r="G106" s="2"/>
      <c r="H106" s="2">
        <v>2157</v>
      </c>
      <c r="I106" s="2"/>
      <c r="J106" s="19">
        <f t="shared" si="62"/>
        <v>7.9523375890812962E-3</v>
      </c>
      <c r="K106" s="2"/>
      <c r="L106" s="2">
        <f t="shared" si="63"/>
        <v>-26961.61</v>
      </c>
      <c r="M106" s="2"/>
      <c r="N106" s="19">
        <f t="shared" si="64"/>
        <v>-12.499587389893371</v>
      </c>
      <c r="O106" s="11"/>
      <c r="P106" s="2">
        <f>--420.3</f>
        <v>420.3</v>
      </c>
      <c r="Q106" s="2"/>
      <c r="R106" s="19">
        <f t="shared" si="65"/>
        <v>1.7347812159392346E-4</v>
      </c>
      <c r="S106" s="2"/>
      <c r="T106" s="2">
        <v>16747</v>
      </c>
      <c r="U106" s="2"/>
      <c r="V106" s="19">
        <f t="shared" si="66"/>
        <v>7.9530085328510976E-3</v>
      </c>
      <c r="W106" s="2"/>
      <c r="X106" s="2">
        <f t="shared" si="67"/>
        <v>-16326.7</v>
      </c>
      <c r="Y106" s="2"/>
      <c r="Z106" s="19">
        <f t="shared" si="68"/>
        <v>-0.97490296769570672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277</v>
      </c>
      <c r="C108" s="28"/>
      <c r="D108" s="21">
        <f>+D49-D51+D104</f>
        <v>-2926.309999999994</v>
      </c>
      <c r="E108" s="14"/>
      <c r="F108" s="20">
        <f>IF(D$12=0,0,D108/D$12)</f>
        <v>-7.2572193995527551E-3</v>
      </c>
      <c r="G108" s="14"/>
      <c r="H108" s="21">
        <f>+H49-H51+H104</f>
        <v>-28900.210178557689</v>
      </c>
      <c r="I108" s="14"/>
      <c r="J108" s="20">
        <f>IF(H$12=0,0,H108/H$12)</f>
        <v>-0.10654808888979796</v>
      </c>
      <c r="K108" s="16"/>
      <c r="L108" s="21">
        <f>+D108-H108</f>
        <v>25973.900178557695</v>
      </c>
      <c r="M108" s="16"/>
      <c r="N108" s="20">
        <f>IF(H108=0,0,L108/H108)</f>
        <v>-0.89874433500932982</v>
      </c>
      <c r="O108" s="29"/>
      <c r="P108" s="21">
        <f>+P49-P51+P104</f>
        <v>54889.539999999593</v>
      </c>
      <c r="Q108" s="14"/>
      <c r="R108" s="20">
        <f>IF(P$12=0,0,P108/P$12)</f>
        <v>2.2655565772910908E-2</v>
      </c>
      <c r="S108" s="14"/>
      <c r="T108" s="21">
        <f>+T49-T51+T104</f>
        <v>212703.09518909227</v>
      </c>
      <c r="U108" s="14"/>
      <c r="V108" s="20">
        <f>IF(T$12=0,0,T108/T$12)</f>
        <v>0.10101089932541291</v>
      </c>
      <c r="W108" s="16"/>
      <c r="X108" s="21">
        <f>+P108-T108</f>
        <v>-157813.55518909267</v>
      </c>
      <c r="Y108" s="16"/>
      <c r="Z108" s="20">
        <f>IF(T108=0,0,X108/T108)</f>
        <v>-0.74194291836137594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128</v>
      </c>
      <c r="C110" s="10"/>
      <c r="D110" s="4">
        <v>90642.79</v>
      </c>
      <c r="E110" s="4"/>
      <c r="F110" s="12">
        <f>IF(D$12=0,0,D110/D$12)</f>
        <v>0.22479320851775367</v>
      </c>
      <c r="G110" s="4"/>
      <c r="H110" s="4">
        <v>57036</v>
      </c>
      <c r="I110" s="4"/>
      <c r="J110" s="12">
        <f>IF(H$12=0,0,H110/H$12)</f>
        <v>0.21027794470599948</v>
      </c>
      <c r="K110" s="4"/>
      <c r="L110" s="4">
        <f>+D110-H110</f>
        <v>33606.789999999994</v>
      </c>
      <c r="M110" s="4"/>
      <c r="N110" s="12">
        <f>IF(H110=0,0,L110/H110)</f>
        <v>0.58922066764850256</v>
      </c>
      <c r="O110" s="10"/>
      <c r="P110" s="4">
        <v>506856.23</v>
      </c>
      <c r="Q110" s="4"/>
      <c r="R110" s="12">
        <f>IF(P$12=0,0,P110/P$12)</f>
        <v>0.20920406066756514</v>
      </c>
      <c r="S110" s="4"/>
      <c r="T110" s="4">
        <v>381449</v>
      </c>
      <c r="U110" s="4"/>
      <c r="V110" s="12">
        <f>IF(T$12=0,0,T110/T$12)</f>
        <v>0.18114690104780068</v>
      </c>
      <c r="W110" s="4"/>
      <c r="X110" s="4">
        <f>+P110-T110</f>
        <v>125407.22999999998</v>
      </c>
      <c r="Y110" s="4"/>
      <c r="Z110" s="12">
        <f>IF(T110=0,0,X110/T110)</f>
        <v>0.32876539196589838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126</v>
      </c>
      <c r="C112" s="28"/>
      <c r="D112" s="31">
        <f>+D108-D110</f>
        <v>-93569.099999999991</v>
      </c>
      <c r="E112" s="14"/>
      <c r="F112" s="33">
        <f>IF(D$12=0,0,D112/D$12)</f>
        <v>-0.23205042791730643</v>
      </c>
      <c r="G112" s="14"/>
      <c r="H112" s="31">
        <f>+H108-H110</f>
        <v>-85936.210178557696</v>
      </c>
      <c r="I112" s="14"/>
      <c r="J112" s="33">
        <f>IF(H$12=0,0,H112/H$12)</f>
        <v>-0.31682603359579747</v>
      </c>
      <c r="K112" s="16"/>
      <c r="L112" s="31">
        <f>D112-H112</f>
        <v>-7632.8898214422952</v>
      </c>
      <c r="M112" s="16"/>
      <c r="N112" s="33">
        <f>IF(H112=0,0,L112/H112)</f>
        <v>8.8820414649223259E-2</v>
      </c>
      <c r="O112" s="29"/>
      <c r="P112" s="31">
        <f>+P108-P110</f>
        <v>-451966.69000000041</v>
      </c>
      <c r="Q112" s="14"/>
      <c r="R112" s="33">
        <f>IF(P$12=0,0,P112/P$12)</f>
        <v>-0.18654849489465425</v>
      </c>
      <c r="S112" s="14"/>
      <c r="T112" s="31">
        <f>+T108-T110</f>
        <v>-168745.90481090773</v>
      </c>
      <c r="U112" s="14"/>
      <c r="V112" s="33">
        <f>IF(T$12=0,0,T112/T$12)</f>
        <v>-8.0136001722387773E-2</v>
      </c>
      <c r="W112" s="16"/>
      <c r="X112" s="31">
        <f>P112-T112</f>
        <v>-283220.78518909268</v>
      </c>
      <c r="Y112" s="16"/>
      <c r="Z112" s="33">
        <f>IF(T112=0,0,X112/T112)</f>
        <v>1.6783861244304716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294</v>
      </c>
      <c r="C115" s="28"/>
      <c r="D115" s="34">
        <f>SUM(D112:D114)</f>
        <v>-93569.099999999991</v>
      </c>
      <c r="E115" s="14"/>
      <c r="F115" s="35">
        <f>IF(D$12=0,0,D115/D$12)</f>
        <v>-0.23205042791730643</v>
      </c>
      <c r="G115" s="14"/>
      <c r="H115" s="34">
        <f>SUM(H112:H114)</f>
        <v>-85936.210178557696</v>
      </c>
      <c r="I115" s="14"/>
      <c r="J115" s="35">
        <f>IF(H$12=0,0,H115/H$12)</f>
        <v>-0.31682603359579747</v>
      </c>
      <c r="K115" s="16"/>
      <c r="L115" s="34">
        <f>+D115-H115</f>
        <v>-7632.8898214422952</v>
      </c>
      <c r="M115" s="16"/>
      <c r="N115" s="35">
        <f>IF(H115=0,0,L115/H115)</f>
        <v>8.8820414649223259E-2</v>
      </c>
      <c r="O115" s="29"/>
      <c r="P115" s="34">
        <f>SUM(P112:P114)</f>
        <v>-451966.69000000041</v>
      </c>
      <c r="Q115" s="14"/>
      <c r="R115" s="35">
        <f>IF(P$12=0,0,P115/P$12)</f>
        <v>-0.18654849489465425</v>
      </c>
      <c r="S115" s="14"/>
      <c r="T115" s="34">
        <f>SUM(T112:T114)</f>
        <v>-168745.90481090773</v>
      </c>
      <c r="U115" s="14"/>
      <c r="V115" s="35">
        <f>IF(T$12=0,0,T115/T$12)</f>
        <v>-8.0136001722387773E-2</v>
      </c>
      <c r="W115" s="16"/>
      <c r="X115" s="34">
        <f>+P115-T115</f>
        <v>-283220.78518909268</v>
      </c>
      <c r="Y115" s="16"/>
      <c r="Z115" s="35">
        <f>IF(T115=0,0,X115/T115)</f>
        <v>1.6783861244304716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2">
        <v>44330.0058283912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 t="s">
        <v>56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5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199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51.9</v>
      </c>
      <c r="E12" s="4"/>
      <c r="F12" s="12"/>
      <c r="G12" s="4"/>
      <c r="H12" s="4">
        <f>SUM(OSRRefH13x_0)</f>
        <v>91613</v>
      </c>
      <c r="I12" s="4"/>
      <c r="J12" s="12"/>
      <c r="K12" s="4"/>
      <c r="L12" s="4">
        <f t="shared" ref="L12:L20" si="0">+D12-H12</f>
        <v>-91561.1</v>
      </c>
      <c r="M12" s="4"/>
      <c r="N12" s="12">
        <f t="shared" ref="N12:N20" si="1">IF(H12=0,0,L12/H12)</f>
        <v>-0.99943348651392272</v>
      </c>
      <c r="O12" s="10"/>
      <c r="P12" s="4">
        <f>SUM(OSRRefP13x_0)</f>
        <v>2872.92</v>
      </c>
      <c r="Q12" s="4"/>
      <c r="R12" s="12"/>
      <c r="S12" s="4"/>
      <c r="T12" s="4">
        <f>SUM(OSRRefT13x_0)</f>
        <v>552414</v>
      </c>
      <c r="U12" s="4"/>
      <c r="V12" s="12"/>
      <c r="W12" s="4"/>
      <c r="X12" s="4">
        <f t="shared" ref="X12:X20" si="2">+P12-T12</f>
        <v>-549541.07999999996</v>
      </c>
      <c r="Y12" s="4"/>
      <c r="Z12" s="12">
        <f t="shared" ref="Z12:Z20" si="3">IF(T12=0,0,X12/T12)</f>
        <v>-0.99479933528114772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9" si="4">0</f>
        <v>0</v>
      </c>
      <c r="E13" s="2"/>
      <c r="F13" s="19"/>
      <c r="G13" s="2"/>
      <c r="H13" s="2">
        <v>6914</v>
      </c>
      <c r="I13" s="2"/>
      <c r="J13" s="19"/>
      <c r="K13" s="2"/>
      <c r="L13" s="2">
        <f t="shared" si="0"/>
        <v>-6914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44931</v>
      </c>
      <c r="U13" s="2"/>
      <c r="V13" s="19"/>
      <c r="W13" s="2"/>
      <c r="X13" s="2">
        <f t="shared" si="2"/>
        <v>-44931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84699</v>
      </c>
      <c r="I16" s="2"/>
      <c r="J16" s="19"/>
      <c r="K16" s="2"/>
      <c r="L16" s="2">
        <f t="shared" si="0"/>
        <v>-84699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v>507483</v>
      </c>
      <c r="U16" s="2"/>
      <c r="V16" s="19"/>
      <c r="W16" s="2"/>
      <c r="X16" s="2">
        <f t="shared" si="2"/>
        <v>-507483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--2031.88</f>
        <v>2031.88</v>
      </c>
      <c r="Q17" s="2"/>
      <c r="R17" s="19"/>
      <c r="S17" s="2"/>
      <c r="T17" s="2"/>
      <c r="U17" s="2"/>
      <c r="V17" s="19"/>
      <c r="W17" s="2"/>
      <c r="X17" s="2">
        <f t="shared" si="2"/>
        <v>2031.88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19" si="6"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/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--51.9</f>
        <v>51.9</v>
      </c>
      <c r="E20" s="2"/>
      <c r="F20" s="19"/>
      <c r="G20" s="2"/>
      <c r="H20" s="2"/>
      <c r="I20" s="2"/>
      <c r="J20" s="19"/>
      <c r="K20" s="2"/>
      <c r="L20" s="2">
        <f t="shared" si="0"/>
        <v>51.9</v>
      </c>
      <c r="M20" s="2"/>
      <c r="N20" s="19">
        <f t="shared" si="1"/>
        <v>0</v>
      </c>
      <c r="O20" s="11"/>
      <c r="P20" s="2">
        <f>--396.45</f>
        <v>396.45</v>
      </c>
      <c r="Q20" s="2"/>
      <c r="R20" s="19"/>
      <c r="S20" s="2"/>
      <c r="T20" s="2"/>
      <c r="U20" s="2"/>
      <c r="V20" s="19"/>
      <c r="W20" s="2"/>
      <c r="X20" s="2">
        <f t="shared" si="2"/>
        <v>396.45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257</v>
      </c>
      <c r="C22" s="10"/>
      <c r="D22" s="4">
        <f>SUM(OSRRefD16x_0)</f>
        <v>200.48000000000002</v>
      </c>
      <c r="E22" s="4"/>
      <c r="F22" s="12">
        <f t="shared" ref="F22:F25" si="7">IF(D$12=0,0,D22/D$12)</f>
        <v>3.8628131021194609</v>
      </c>
      <c r="G22" s="4"/>
      <c r="H22" s="4">
        <f>SUM(OSRRefH16x_0)</f>
        <v>43694</v>
      </c>
      <c r="I22" s="4"/>
      <c r="J22" s="12">
        <f t="shared" ref="J22:J25" si="8">IF(H$12=0,0,H22/H$12)</f>
        <v>0.47694104548481109</v>
      </c>
      <c r="K22" s="4"/>
      <c r="L22" s="4">
        <f t="shared" ref="L22:L25" si="9">+D22-H22</f>
        <v>-43493.52</v>
      </c>
      <c r="M22" s="4"/>
      <c r="N22" s="12">
        <f t="shared" ref="N22:N25" si="10">IF(H22=0,0,L22/H22)</f>
        <v>-0.99541172701057345</v>
      </c>
      <c r="O22" s="10"/>
      <c r="P22" s="4">
        <f>SUM(OSRRefP16x_0)</f>
        <v>28419.84</v>
      </c>
      <c r="Q22" s="4"/>
      <c r="R22" s="12">
        <f t="shared" ref="R22:R25" si="11">IF(P$12=0,0,P22/P$12)</f>
        <v>9.8923186165991392</v>
      </c>
      <c r="S22" s="4"/>
      <c r="T22" s="4">
        <f>SUM(OSRRefT16x_0)</f>
        <v>257045</v>
      </c>
      <c r="U22" s="4"/>
      <c r="V22" s="12">
        <f t="shared" ref="V22:V25" si="12">IF(T$12=0,0,T22/T$12)</f>
        <v>0.46531224769828428</v>
      </c>
      <c r="W22" s="4"/>
      <c r="X22" s="4">
        <f t="shared" ref="X22:X25" si="13">+P22-T22</f>
        <v>-228625.16</v>
      </c>
      <c r="Y22" s="4"/>
      <c r="Z22" s="12">
        <f t="shared" ref="Z22:Z25" si="14">IF(T22=0,0,X22/T22)</f>
        <v>-0.88943632437899978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7"/>
        <v>0</v>
      </c>
      <c r="G23" s="2"/>
      <c r="H23" s="2">
        <v>43694</v>
      </c>
      <c r="I23" s="2"/>
      <c r="J23" s="19">
        <f t="shared" si="8"/>
        <v>0.47694104548481109</v>
      </c>
      <c r="K23" s="2"/>
      <c r="L23" s="2">
        <f t="shared" si="9"/>
        <v>-43694</v>
      </c>
      <c r="M23" s="2"/>
      <c r="N23" s="19">
        <f t="shared" si="10"/>
        <v>-1</v>
      </c>
      <c r="O23" s="11"/>
      <c r="P23" s="2"/>
      <c r="Q23" s="2"/>
      <c r="R23" s="19">
        <f t="shared" si="11"/>
        <v>0</v>
      </c>
      <c r="S23" s="2"/>
      <c r="T23" s="2">
        <v>257045</v>
      </c>
      <c r="U23" s="2"/>
      <c r="V23" s="19">
        <f t="shared" si="12"/>
        <v>0.46531224769828428</v>
      </c>
      <c r="W23" s="2"/>
      <c r="X23" s="2">
        <f t="shared" si="13"/>
        <v>-257045</v>
      </c>
      <c r="Y23" s="2"/>
      <c r="Z23" s="19">
        <f t="shared" si="14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176.4</v>
      </c>
      <c r="E24" s="2"/>
      <c r="F24" s="19">
        <f t="shared" si="7"/>
        <v>3.3988439306358385</v>
      </c>
      <c r="G24" s="2"/>
      <c r="H24" s="2"/>
      <c r="I24" s="2"/>
      <c r="J24" s="19">
        <f t="shared" si="8"/>
        <v>0</v>
      </c>
      <c r="K24" s="2"/>
      <c r="L24" s="2">
        <f t="shared" si="9"/>
        <v>176.4</v>
      </c>
      <c r="M24" s="2"/>
      <c r="N24" s="19">
        <f t="shared" si="10"/>
        <v>0</v>
      </c>
      <c r="O24" s="11"/>
      <c r="P24" s="2">
        <v>-2470.15</v>
      </c>
      <c r="Q24" s="2"/>
      <c r="R24" s="19">
        <f t="shared" si="11"/>
        <v>-0.85980465867479783</v>
      </c>
      <c r="S24" s="2"/>
      <c r="T24" s="2"/>
      <c r="U24" s="2"/>
      <c r="V24" s="19">
        <f t="shared" si="12"/>
        <v>0</v>
      </c>
      <c r="W24" s="2"/>
      <c r="X24" s="2">
        <f t="shared" si="13"/>
        <v>-2470.15</v>
      </c>
      <c r="Y24" s="2"/>
      <c r="Z24" s="19">
        <f t="shared" si="14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24.08</v>
      </c>
      <c r="E25" s="2"/>
      <c r="F25" s="19">
        <f t="shared" si="7"/>
        <v>0.46396917148362232</v>
      </c>
      <c r="G25" s="2"/>
      <c r="H25" s="2"/>
      <c r="I25" s="2"/>
      <c r="J25" s="19">
        <f t="shared" si="8"/>
        <v>0</v>
      </c>
      <c r="K25" s="2"/>
      <c r="L25" s="2">
        <f t="shared" si="9"/>
        <v>24.08</v>
      </c>
      <c r="M25" s="2"/>
      <c r="N25" s="19">
        <f t="shared" si="10"/>
        <v>0</v>
      </c>
      <c r="O25" s="11"/>
      <c r="P25" s="2">
        <v>30889.99</v>
      </c>
      <c r="Q25" s="2"/>
      <c r="R25" s="19">
        <f t="shared" si="11"/>
        <v>10.752123275273938</v>
      </c>
      <c r="S25" s="2"/>
      <c r="T25" s="2"/>
      <c r="U25" s="2"/>
      <c r="V25" s="19">
        <f t="shared" si="12"/>
        <v>0</v>
      </c>
      <c r="W25" s="2"/>
      <c r="X25" s="2">
        <f t="shared" si="13"/>
        <v>30889.99</v>
      </c>
      <c r="Y25" s="2"/>
      <c r="Z25" s="19">
        <f t="shared" si="14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108</v>
      </c>
      <c r="C27" s="28"/>
      <c r="D27" s="21">
        <f>D12-D22</f>
        <v>-148.58000000000001</v>
      </c>
      <c r="E27" s="14"/>
      <c r="F27" s="20">
        <f>IF(D$12=0,0,D27/D$12)</f>
        <v>-2.8628131021194609</v>
      </c>
      <c r="G27" s="14"/>
      <c r="H27" s="21">
        <f>H12-H22</f>
        <v>47919</v>
      </c>
      <c r="I27" s="14"/>
      <c r="J27" s="20">
        <f>IF(H$12=0,0,H27/H$12)</f>
        <v>0.52305895451518891</v>
      </c>
      <c r="K27" s="16"/>
      <c r="L27" s="21">
        <f>+D27-H27</f>
        <v>-48067.58</v>
      </c>
      <c r="M27" s="16"/>
      <c r="N27" s="20">
        <f>IF(H27=0,0,L27/H27)</f>
        <v>-1.0031006490118743</v>
      </c>
      <c r="O27" s="29"/>
      <c r="P27" s="21">
        <f>P12-P22</f>
        <v>-25546.92</v>
      </c>
      <c r="Q27" s="14"/>
      <c r="R27" s="20">
        <f>IF(P$12=0,0,P27/P$12)</f>
        <v>-8.8923186165991392</v>
      </c>
      <c r="S27" s="14"/>
      <c r="T27" s="21">
        <f>T12-T22</f>
        <v>295369</v>
      </c>
      <c r="U27" s="14"/>
      <c r="V27" s="20">
        <f>IF(T$12=0,0,T27/T$12)</f>
        <v>0.53468775230171572</v>
      </c>
      <c r="W27" s="16"/>
      <c r="X27" s="21">
        <f>+P27-T27</f>
        <v>-320915.92</v>
      </c>
      <c r="Y27" s="16"/>
      <c r="Z27" s="20">
        <f>IF(T27=0,0,X27/T27)</f>
        <v>-1.0864915410892815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295</v>
      </c>
      <c r="C29" s="10"/>
      <c r="D29" s="22">
        <f>SUM(OSRRefD22x_0)</f>
        <v>15574.200000000003</v>
      </c>
      <c r="E29" s="22"/>
      <c r="F29" s="32">
        <f t="shared" ref="F29:F39" si="15">IF(D$12=0,0,D29/D$12)</f>
        <v>300.08092485549139</v>
      </c>
      <c r="G29" s="22"/>
      <c r="H29" s="22">
        <f>SUM(OSRRefH22x_0)</f>
        <v>72676.689024499996</v>
      </c>
      <c r="I29" s="22"/>
      <c r="J29" s="32">
        <f t="shared" ref="J29:J39" si="16">IF(H$12=0,0,H29/H$12)</f>
        <v>0.7933010492451944</v>
      </c>
      <c r="K29" s="4"/>
      <c r="L29" s="22">
        <f t="shared" ref="L29:L39" si="17">+D29-H29</f>
        <v>-57102.489024499992</v>
      </c>
      <c r="M29" s="4"/>
      <c r="N29" s="32">
        <f t="shared" ref="N29:N39" si="18">IF(H29=0,0,L29/H29)</f>
        <v>-0.78570570276323681</v>
      </c>
      <c r="O29" s="10"/>
      <c r="P29" s="22">
        <f>SUM(OSRRefP22x_0)</f>
        <v>233105.09999999998</v>
      </c>
      <c r="Q29" s="22"/>
      <c r="R29" s="32">
        <f t="shared" ref="R29:R39" si="19">IF(P$12=0,0,P29/P$12)</f>
        <v>81.13873689486654</v>
      </c>
      <c r="S29" s="22"/>
      <c r="T29" s="22">
        <f>SUM(OSRRefT22x_0)</f>
        <v>568524.03243750008</v>
      </c>
      <c r="U29" s="22"/>
      <c r="V29" s="32">
        <f t="shared" ref="V29:V39" si="20">IF(T$12=0,0,T29/T$12)</f>
        <v>1.0291629691454236</v>
      </c>
      <c r="W29" s="4"/>
      <c r="X29" s="22">
        <f t="shared" ref="X29:X39" si="21">+P29-T29</f>
        <v>-335418.9324375001</v>
      </c>
      <c r="Y29" s="4"/>
      <c r="Z29" s="32">
        <f t="shared" ref="Z29:Z39" si="22">IF(T29=0,0,X29/T29)</f>
        <v>-0.5899819766623039</v>
      </c>
    </row>
    <row r="30" spans="1:26" s="25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5"/>
        <v>0</v>
      </c>
      <c r="G30" s="1"/>
      <c r="H30" s="1">
        <f>SUM(OSRRefH22_0x_0)</f>
        <v>8980.8900244999986</v>
      </c>
      <c r="I30" s="1"/>
      <c r="J30" s="5">
        <f t="shared" si="16"/>
        <v>9.8030738263128581E-2</v>
      </c>
      <c r="K30" s="1"/>
      <c r="L30" s="1">
        <f t="shared" si="17"/>
        <v>-8980.8900244999986</v>
      </c>
      <c r="M30" s="1"/>
      <c r="N30" s="5">
        <f t="shared" si="18"/>
        <v>-1</v>
      </c>
      <c r="O30" s="13"/>
      <c r="P30" s="1">
        <f>SUM(OSRRefP22_0x_0)</f>
        <v>35025.26</v>
      </c>
      <c r="Q30" s="1"/>
      <c r="R30" s="5">
        <f t="shared" si="19"/>
        <v>12.191519429709146</v>
      </c>
      <c r="S30" s="1"/>
      <c r="T30" s="1">
        <f>SUM(OSRRefT22_0x_0)</f>
        <v>78239.046437500001</v>
      </c>
      <c r="U30" s="1"/>
      <c r="V30" s="5">
        <f t="shared" si="20"/>
        <v>0.14163117958179916</v>
      </c>
      <c r="W30" s="1"/>
      <c r="X30" s="1">
        <f t="shared" si="21"/>
        <v>-43213.786437499999</v>
      </c>
      <c r="Y30" s="1"/>
      <c r="Z30" s="5">
        <f t="shared" si="22"/>
        <v>-0.55233017789935146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7"/>
      <c r="E31" s="2"/>
      <c r="F31" s="6">
        <f t="shared" si="15"/>
        <v>0</v>
      </c>
      <c r="G31" s="2"/>
      <c r="H31" s="7">
        <v>1505.3718855</v>
      </c>
      <c r="I31" s="2"/>
      <c r="J31" s="6">
        <f t="shared" si="16"/>
        <v>1.6431858857367403E-2</v>
      </c>
      <c r="K31" s="2"/>
      <c r="L31" s="7">
        <f t="shared" si="17"/>
        <v>-1505.3718855</v>
      </c>
      <c r="M31" s="2"/>
      <c r="N31" s="6">
        <f t="shared" si="18"/>
        <v>-1</v>
      </c>
      <c r="O31" s="11"/>
      <c r="P31" s="7">
        <v>3909.68</v>
      </c>
      <c r="Q31" s="2"/>
      <c r="R31" s="6">
        <f t="shared" si="19"/>
        <v>1.3608732578700415</v>
      </c>
      <c r="S31" s="2"/>
      <c r="T31" s="7">
        <v>11407.580932499999</v>
      </c>
      <c r="U31" s="2"/>
      <c r="V31" s="6">
        <f t="shared" si="20"/>
        <v>2.0650419671659297E-2</v>
      </c>
      <c r="W31" s="2"/>
      <c r="X31" s="7">
        <f t="shared" si="21"/>
        <v>-7497.9009324999988</v>
      </c>
      <c r="Y31" s="2"/>
      <c r="Z31" s="6">
        <f t="shared" si="22"/>
        <v>-0.65727352511158699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7"/>
      <c r="E32" s="2"/>
      <c r="F32" s="6">
        <f t="shared" si="15"/>
        <v>0</v>
      </c>
      <c r="G32" s="2"/>
      <c r="H32" s="7">
        <v>742.83956499999999</v>
      </c>
      <c r="I32" s="2"/>
      <c r="J32" s="6">
        <f t="shared" si="16"/>
        <v>8.108451475227315E-3</v>
      </c>
      <c r="K32" s="2"/>
      <c r="L32" s="7">
        <f t="shared" si="17"/>
        <v>-742.83956499999999</v>
      </c>
      <c r="M32" s="2"/>
      <c r="N32" s="6">
        <f t="shared" si="18"/>
        <v>-1</v>
      </c>
      <c r="O32" s="11"/>
      <c r="P32" s="7">
        <v>830.67</v>
      </c>
      <c r="Q32" s="2"/>
      <c r="R32" s="6">
        <f t="shared" si="19"/>
        <v>0.28913788062319867</v>
      </c>
      <c r="S32" s="2"/>
      <c r="T32" s="7">
        <v>4785.8861749999996</v>
      </c>
      <c r="U32" s="2"/>
      <c r="V32" s="6">
        <f t="shared" si="20"/>
        <v>8.6635859608916489E-3</v>
      </c>
      <c r="W32" s="2"/>
      <c r="X32" s="7">
        <f t="shared" si="21"/>
        <v>-3955.2161749999996</v>
      </c>
      <c r="Y32" s="2"/>
      <c r="Z32" s="6">
        <f t="shared" si="22"/>
        <v>-0.82643339819923733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15"/>
        <v>0</v>
      </c>
      <c r="G33" s="2"/>
      <c r="H33" s="7">
        <v>3960</v>
      </c>
      <c r="I33" s="2"/>
      <c r="J33" s="6">
        <f t="shared" si="16"/>
        <v>4.3225306452141073E-2</v>
      </c>
      <c r="K33" s="2"/>
      <c r="L33" s="7">
        <f t="shared" si="17"/>
        <v>-3960</v>
      </c>
      <c r="M33" s="2"/>
      <c r="N33" s="6">
        <f t="shared" si="18"/>
        <v>-1</v>
      </c>
      <c r="O33" s="11"/>
      <c r="P33" s="7">
        <v>18067.72</v>
      </c>
      <c r="Q33" s="2"/>
      <c r="R33" s="6">
        <f t="shared" si="19"/>
        <v>6.2889742840037313</v>
      </c>
      <c r="S33" s="2"/>
      <c r="T33" s="7">
        <v>39600</v>
      </c>
      <c r="U33" s="2"/>
      <c r="V33" s="6">
        <f t="shared" si="20"/>
        <v>7.1685366409975124E-2</v>
      </c>
      <c r="W33" s="2"/>
      <c r="X33" s="7">
        <f t="shared" si="21"/>
        <v>-21532.28</v>
      </c>
      <c r="Y33" s="2"/>
      <c r="Z33" s="6">
        <f t="shared" si="22"/>
        <v>-0.54374444444444436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5"/>
        <v>0</v>
      </c>
      <c r="G34" s="2"/>
      <c r="H34" s="7">
        <v>104.399074</v>
      </c>
      <c r="I34" s="2"/>
      <c r="J34" s="6">
        <f t="shared" si="16"/>
        <v>1.1395661532751901E-3</v>
      </c>
      <c r="K34" s="2"/>
      <c r="L34" s="7">
        <f t="shared" si="17"/>
        <v>-104.399074</v>
      </c>
      <c r="M34" s="2"/>
      <c r="N34" s="6">
        <f t="shared" si="18"/>
        <v>-1</v>
      </c>
      <c r="O34" s="11"/>
      <c r="P34" s="7">
        <v>132.15</v>
      </c>
      <c r="Q34" s="2"/>
      <c r="R34" s="6">
        <f t="shared" si="19"/>
        <v>4.5998496303412559E-2</v>
      </c>
      <c r="S34" s="2"/>
      <c r="T34" s="7">
        <v>672.61103000000003</v>
      </c>
      <c r="U34" s="2"/>
      <c r="V34" s="6">
        <f t="shared" si="20"/>
        <v>1.217585053963151E-3</v>
      </c>
      <c r="W34" s="2"/>
      <c r="X34" s="7">
        <f t="shared" si="21"/>
        <v>-540.46103000000005</v>
      </c>
      <c r="Y34" s="2"/>
      <c r="Z34" s="6">
        <f t="shared" si="22"/>
        <v>-0.80352686158001307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15"/>
        <v>0</v>
      </c>
      <c r="G35" s="2"/>
      <c r="H35" s="7">
        <v>1081.3209999999999</v>
      </c>
      <c r="I35" s="2"/>
      <c r="J35" s="6">
        <f t="shared" si="16"/>
        <v>1.1803139292458492E-2</v>
      </c>
      <c r="K35" s="2"/>
      <c r="L35" s="7">
        <f t="shared" si="17"/>
        <v>-1081.3209999999999</v>
      </c>
      <c r="M35" s="2"/>
      <c r="N35" s="6">
        <f t="shared" si="18"/>
        <v>-1</v>
      </c>
      <c r="O35" s="11"/>
      <c r="P35" s="7">
        <v>5525.49</v>
      </c>
      <c r="Q35" s="2"/>
      <c r="R35" s="6">
        <f t="shared" si="19"/>
        <v>1.9233010317029362</v>
      </c>
      <c r="S35" s="2"/>
      <c r="T35" s="7">
        <v>9329.5895999999993</v>
      </c>
      <c r="U35" s="2"/>
      <c r="V35" s="6">
        <f t="shared" si="20"/>
        <v>1.6888763861886192E-2</v>
      </c>
      <c r="W35" s="2"/>
      <c r="X35" s="7">
        <f t="shared" si="21"/>
        <v>-3804.0995999999996</v>
      </c>
      <c r="Y35" s="2"/>
      <c r="Z35" s="6">
        <f t="shared" si="22"/>
        <v>-0.40774565260619822</v>
      </c>
    </row>
    <row r="36" spans="1:26" s="24" customFormat="1" hidden="1" outlineLevel="2" x14ac:dyDescent="0.25">
      <c r="A36" s="26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5"/>
        <v>0</v>
      </c>
      <c r="G36" s="2"/>
      <c r="H36" s="7">
        <v>0</v>
      </c>
      <c r="I36" s="2"/>
      <c r="J36" s="6">
        <f t="shared" si="16"/>
        <v>0</v>
      </c>
      <c r="K36" s="2"/>
      <c r="L36" s="7">
        <f t="shared" si="17"/>
        <v>0</v>
      </c>
      <c r="M36" s="2"/>
      <c r="N36" s="6">
        <f t="shared" si="18"/>
        <v>0</v>
      </c>
      <c r="O36" s="11"/>
      <c r="P36" s="7"/>
      <c r="Q36" s="2"/>
      <c r="R36" s="6">
        <f t="shared" si="19"/>
        <v>0</v>
      </c>
      <c r="S36" s="2"/>
      <c r="T36" s="7">
        <v>0</v>
      </c>
      <c r="U36" s="2"/>
      <c r="V36" s="6">
        <f t="shared" si="20"/>
        <v>0</v>
      </c>
      <c r="W36" s="2"/>
      <c r="X36" s="7">
        <f t="shared" si="21"/>
        <v>0</v>
      </c>
      <c r="Y36" s="2"/>
      <c r="Z36" s="6">
        <f t="shared" si="22"/>
        <v>0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7"/>
      <c r="E37" s="2"/>
      <c r="F37" s="6">
        <f t="shared" si="15"/>
        <v>0</v>
      </c>
      <c r="G37" s="2"/>
      <c r="H37" s="7">
        <v>489.52499999999998</v>
      </c>
      <c r="I37" s="2"/>
      <c r="J37" s="6">
        <f t="shared" si="16"/>
        <v>5.3434010457031203E-3</v>
      </c>
      <c r="K37" s="2"/>
      <c r="L37" s="7">
        <f t="shared" si="17"/>
        <v>-489.52499999999998</v>
      </c>
      <c r="M37" s="2"/>
      <c r="N37" s="6">
        <f t="shared" si="18"/>
        <v>-1</v>
      </c>
      <c r="O37" s="11"/>
      <c r="P37" s="7">
        <v>3386</v>
      </c>
      <c r="Q37" s="2"/>
      <c r="R37" s="6">
        <f t="shared" si="19"/>
        <v>1.1785918159920916</v>
      </c>
      <c r="S37" s="2"/>
      <c r="T37" s="7">
        <v>4199.66</v>
      </c>
      <c r="U37" s="2"/>
      <c r="V37" s="6">
        <f t="shared" si="20"/>
        <v>7.6023779266999022E-3</v>
      </c>
      <c r="W37" s="2"/>
      <c r="X37" s="7">
        <f t="shared" si="21"/>
        <v>-813.65999999999985</v>
      </c>
      <c r="Y37" s="2"/>
      <c r="Z37" s="6">
        <f t="shared" si="22"/>
        <v>-0.19374425548734894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7"/>
      <c r="E38" s="2"/>
      <c r="F38" s="6">
        <f t="shared" si="15"/>
        <v>0</v>
      </c>
      <c r="G38" s="2"/>
      <c r="H38" s="7">
        <v>922.43349999999998</v>
      </c>
      <c r="I38" s="2"/>
      <c r="J38" s="6">
        <f t="shared" si="16"/>
        <v>1.0068805737177038E-2</v>
      </c>
      <c r="K38" s="2"/>
      <c r="L38" s="7">
        <f t="shared" si="17"/>
        <v>-922.43349999999998</v>
      </c>
      <c r="M38" s="2"/>
      <c r="N38" s="6">
        <f t="shared" si="18"/>
        <v>-1</v>
      </c>
      <c r="O38" s="11"/>
      <c r="P38" s="7">
        <v>2447.1799999999998</v>
      </c>
      <c r="Q38" s="2"/>
      <c r="R38" s="6">
        <f t="shared" si="19"/>
        <v>0.85180930899572549</v>
      </c>
      <c r="S38" s="2"/>
      <c r="T38" s="7">
        <v>6493.7187000000004</v>
      </c>
      <c r="U38" s="2"/>
      <c r="V38" s="6">
        <f t="shared" si="20"/>
        <v>1.1755166777091096E-2</v>
      </c>
      <c r="W38" s="2"/>
      <c r="X38" s="7">
        <f t="shared" si="21"/>
        <v>-4046.5387000000005</v>
      </c>
      <c r="Y38" s="2"/>
      <c r="Z38" s="6">
        <f t="shared" si="22"/>
        <v>-0.62314659549388862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7"/>
      <c r="E39" s="2"/>
      <c r="F39" s="6">
        <f t="shared" si="15"/>
        <v>0</v>
      </c>
      <c r="G39" s="2"/>
      <c r="H39" s="7">
        <v>175</v>
      </c>
      <c r="I39" s="2"/>
      <c r="J39" s="6">
        <f t="shared" si="16"/>
        <v>1.9102092497789616E-3</v>
      </c>
      <c r="K39" s="2"/>
      <c r="L39" s="7">
        <f t="shared" si="17"/>
        <v>-175</v>
      </c>
      <c r="M39" s="2"/>
      <c r="N39" s="6">
        <f t="shared" si="18"/>
        <v>-1</v>
      </c>
      <c r="O39" s="11"/>
      <c r="P39" s="7">
        <v>726.37</v>
      </c>
      <c r="Q39" s="2"/>
      <c r="R39" s="6">
        <f t="shared" si="19"/>
        <v>0.25283335421800818</v>
      </c>
      <c r="S39" s="2"/>
      <c r="T39" s="7">
        <v>1750</v>
      </c>
      <c r="U39" s="2"/>
      <c r="V39" s="6">
        <f t="shared" si="20"/>
        <v>3.1679139196327394E-3</v>
      </c>
      <c r="W39" s="2"/>
      <c r="X39" s="7">
        <f t="shared" si="21"/>
        <v>-1023.63</v>
      </c>
      <c r="Y39" s="2"/>
      <c r="Z39" s="6">
        <f t="shared" si="22"/>
        <v>-0.58493142857142855</v>
      </c>
    </row>
    <row r="40" spans="1:26" s="25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0</v>
      </c>
      <c r="E40" s="1"/>
      <c r="F40" s="5">
        <f t="shared" ref="F40:F50" si="23">IF(D$12=0,0,D40/D$12)</f>
        <v>0</v>
      </c>
      <c r="G40" s="1"/>
      <c r="H40" s="1">
        <f>SUM(OSRRefH22_1x_0)</f>
        <v>39027.798999999999</v>
      </c>
      <c r="I40" s="1"/>
      <c r="J40" s="5">
        <f t="shared" ref="J40:J50" si="24">IF(H$12=0,0,H40/H$12)</f>
        <v>0.42600721513322343</v>
      </c>
      <c r="K40" s="1"/>
      <c r="L40" s="1">
        <f t="shared" ref="L40:L50" si="25">+D40-H40</f>
        <v>-39027.798999999999</v>
      </c>
      <c r="M40" s="1"/>
      <c r="N40" s="5">
        <f t="shared" ref="N40:N50" si="26">IF(H40=0,0,L40/H40)</f>
        <v>-1</v>
      </c>
      <c r="O40" s="13"/>
      <c r="P40" s="1">
        <f>SUM(OSRRefP22_1x_0)</f>
        <v>41960.38</v>
      </c>
      <c r="Q40" s="1"/>
      <c r="R40" s="5">
        <f t="shared" ref="R40:R50" si="27">IF(P$12=0,0,P40/P$12)</f>
        <v>14.605481530985895</v>
      </c>
      <c r="S40" s="1"/>
      <c r="T40" s="1">
        <f>SUM(OSRRefT22_1x_0)</f>
        <v>249507.986</v>
      </c>
      <c r="U40" s="1"/>
      <c r="V40" s="5">
        <f t="shared" ref="V40:V50" si="28">IF(T$12=0,0,T40/T$12)</f>
        <v>0.45166846966224605</v>
      </c>
      <c r="W40" s="1"/>
      <c r="X40" s="1">
        <f t="shared" ref="X40:X50" si="29">+P40-T40</f>
        <v>-207547.606</v>
      </c>
      <c r="Y40" s="1"/>
      <c r="Z40" s="5">
        <f t="shared" ref="Z40:Z50" si="30">IF(T40=0,0,X40/T40)</f>
        <v>-0.83182750711634534</v>
      </c>
    </row>
    <row r="41" spans="1:26" s="24" customFormat="1" hidden="1" outlineLevel="2" x14ac:dyDescent="0.25">
      <c r="A41" s="26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23"/>
        <v>0</v>
      </c>
      <c r="G41" s="2"/>
      <c r="H41" s="7">
        <v>6609.625</v>
      </c>
      <c r="I41" s="2"/>
      <c r="J41" s="6">
        <f t="shared" si="24"/>
        <v>7.2147238928972957E-2</v>
      </c>
      <c r="K41" s="2"/>
      <c r="L41" s="7">
        <f t="shared" si="25"/>
        <v>-6609.625</v>
      </c>
      <c r="M41" s="2"/>
      <c r="N41" s="6">
        <f t="shared" si="26"/>
        <v>-1</v>
      </c>
      <c r="O41" s="11"/>
      <c r="P41" s="7"/>
      <c r="Q41" s="2"/>
      <c r="R41" s="6">
        <f t="shared" si="27"/>
        <v>0</v>
      </c>
      <c r="S41" s="2"/>
      <c r="T41" s="7">
        <v>58164.7</v>
      </c>
      <c r="U41" s="2"/>
      <c r="V41" s="6">
        <f t="shared" si="28"/>
        <v>0.10529186443500707</v>
      </c>
      <c r="W41" s="2"/>
      <c r="X41" s="7">
        <f t="shared" si="29"/>
        <v>-58164.7</v>
      </c>
      <c r="Y41" s="2"/>
      <c r="Z41" s="6">
        <f t="shared" si="30"/>
        <v>-1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/>
      <c r="E42" s="2"/>
      <c r="F42" s="6">
        <f t="shared" si="23"/>
        <v>0</v>
      </c>
      <c r="G42" s="2"/>
      <c r="H42" s="7">
        <v>5054.3999999999996</v>
      </c>
      <c r="I42" s="2"/>
      <c r="J42" s="6">
        <f t="shared" si="24"/>
        <v>5.5171209326187326E-2</v>
      </c>
      <c r="K42" s="2"/>
      <c r="L42" s="7">
        <f t="shared" si="25"/>
        <v>-5054.3999999999996</v>
      </c>
      <c r="M42" s="2"/>
      <c r="N42" s="6">
        <f t="shared" si="26"/>
        <v>-1</v>
      </c>
      <c r="O42" s="11"/>
      <c r="P42" s="7">
        <v>39828.42</v>
      </c>
      <c r="Q42" s="2"/>
      <c r="R42" s="6">
        <f t="shared" si="27"/>
        <v>13.863393341965665</v>
      </c>
      <c r="S42" s="2"/>
      <c r="T42" s="7">
        <v>42531.839999999997</v>
      </c>
      <c r="U42" s="2"/>
      <c r="V42" s="6">
        <f t="shared" si="28"/>
        <v>7.6992690264910013E-2</v>
      </c>
      <c r="W42" s="2"/>
      <c r="X42" s="7">
        <f t="shared" si="29"/>
        <v>-2703.4199999999983</v>
      </c>
      <c r="Y42" s="2"/>
      <c r="Z42" s="6">
        <f t="shared" si="30"/>
        <v>-6.3562263001083391E-2</v>
      </c>
    </row>
    <row r="43" spans="1:26" s="24" customFormat="1" hidden="1" outlineLevel="2" x14ac:dyDescent="0.25">
      <c r="A43" s="26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23"/>
        <v>0</v>
      </c>
      <c r="G43" s="2"/>
      <c r="H43" s="7">
        <v>0</v>
      </c>
      <c r="I43" s="2"/>
      <c r="J43" s="6">
        <f t="shared" si="24"/>
        <v>0</v>
      </c>
      <c r="K43" s="2"/>
      <c r="L43" s="7">
        <f t="shared" si="25"/>
        <v>0</v>
      </c>
      <c r="M43" s="2"/>
      <c r="N43" s="6">
        <f t="shared" si="26"/>
        <v>0</v>
      </c>
      <c r="O43" s="11"/>
      <c r="P43" s="7"/>
      <c r="Q43" s="2"/>
      <c r="R43" s="6">
        <f t="shared" si="27"/>
        <v>0</v>
      </c>
      <c r="S43" s="2"/>
      <c r="T43" s="7">
        <v>0</v>
      </c>
      <c r="U43" s="2"/>
      <c r="V43" s="6">
        <f t="shared" si="28"/>
        <v>0</v>
      </c>
      <c r="W43" s="2"/>
      <c r="X43" s="7">
        <f t="shared" si="29"/>
        <v>0</v>
      </c>
      <c r="Y43" s="2"/>
      <c r="Z43" s="6">
        <f t="shared" si="30"/>
        <v>0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23"/>
        <v>0</v>
      </c>
      <c r="G44" s="2"/>
      <c r="H44" s="7">
        <v>7096.85</v>
      </c>
      <c r="I44" s="2"/>
      <c r="J44" s="6">
        <f t="shared" si="24"/>
        <v>7.7465534367393271E-2</v>
      </c>
      <c r="K44" s="2"/>
      <c r="L44" s="7">
        <f t="shared" si="25"/>
        <v>-7096.85</v>
      </c>
      <c r="M44" s="2"/>
      <c r="N44" s="6">
        <f t="shared" si="26"/>
        <v>-1</v>
      </c>
      <c r="O44" s="11"/>
      <c r="P44" s="7"/>
      <c r="Q44" s="2"/>
      <c r="R44" s="6">
        <f t="shared" si="27"/>
        <v>0</v>
      </c>
      <c r="S44" s="2"/>
      <c r="T44" s="7">
        <v>39796.65</v>
      </c>
      <c r="U44" s="2"/>
      <c r="V44" s="6">
        <f t="shared" si="28"/>
        <v>7.2041349422715575E-2</v>
      </c>
      <c r="W44" s="2"/>
      <c r="X44" s="7">
        <f t="shared" si="29"/>
        <v>-39796.65</v>
      </c>
      <c r="Y44" s="2"/>
      <c r="Z44" s="6">
        <f t="shared" si="30"/>
        <v>-1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3"/>
        <v>0</v>
      </c>
      <c r="G45" s="2"/>
      <c r="H45" s="7">
        <v>8563.94</v>
      </c>
      <c r="I45" s="2"/>
      <c r="J45" s="6">
        <f t="shared" si="24"/>
        <v>9.3479528014583091E-2</v>
      </c>
      <c r="K45" s="2"/>
      <c r="L45" s="7">
        <f t="shared" si="25"/>
        <v>-8563.94</v>
      </c>
      <c r="M45" s="2"/>
      <c r="N45" s="6">
        <f t="shared" si="26"/>
        <v>-1</v>
      </c>
      <c r="O45" s="11"/>
      <c r="P45" s="7">
        <v>2131.96</v>
      </c>
      <c r="Q45" s="2"/>
      <c r="R45" s="6">
        <f t="shared" si="27"/>
        <v>0.74208818902023033</v>
      </c>
      <c r="S45" s="2"/>
      <c r="T45" s="7">
        <v>46213.182000000001</v>
      </c>
      <c r="U45" s="2"/>
      <c r="V45" s="6">
        <f t="shared" si="28"/>
        <v>8.3656790016183522E-2</v>
      </c>
      <c r="W45" s="2"/>
      <c r="X45" s="7">
        <f t="shared" si="29"/>
        <v>-44081.222000000002</v>
      </c>
      <c r="Y45" s="2"/>
      <c r="Z45" s="6">
        <f t="shared" si="30"/>
        <v>-0.95386684258184173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0</v>
      </c>
      <c r="I46" s="2"/>
      <c r="J46" s="6">
        <f t="shared" si="24"/>
        <v>0</v>
      </c>
      <c r="K46" s="2"/>
      <c r="L46" s="7">
        <f t="shared" si="25"/>
        <v>0</v>
      </c>
      <c r="M46" s="2"/>
      <c r="N46" s="6">
        <f t="shared" si="26"/>
        <v>0</v>
      </c>
      <c r="O46" s="11"/>
      <c r="P46" s="7"/>
      <c r="Q46" s="2"/>
      <c r="R46" s="6">
        <f t="shared" si="27"/>
        <v>0</v>
      </c>
      <c r="S46" s="2"/>
      <c r="T46" s="7">
        <v>0</v>
      </c>
      <c r="U46" s="2"/>
      <c r="V46" s="6">
        <f t="shared" si="28"/>
        <v>0</v>
      </c>
      <c r="W46" s="2"/>
      <c r="X46" s="7">
        <f t="shared" si="29"/>
        <v>0</v>
      </c>
      <c r="Y46" s="2"/>
      <c r="Z46" s="6">
        <f t="shared" si="30"/>
        <v>0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3"/>
        <v>0</v>
      </c>
      <c r="G47" s="2"/>
      <c r="H47" s="7">
        <v>0</v>
      </c>
      <c r="I47" s="2"/>
      <c r="J47" s="6">
        <f t="shared" si="24"/>
        <v>0</v>
      </c>
      <c r="K47" s="2"/>
      <c r="L47" s="7">
        <f t="shared" si="25"/>
        <v>0</v>
      </c>
      <c r="M47" s="2"/>
      <c r="N47" s="6">
        <f t="shared" si="26"/>
        <v>0</v>
      </c>
      <c r="O47" s="11"/>
      <c r="P47" s="7">
        <v>0</v>
      </c>
      <c r="Q47" s="2"/>
      <c r="R47" s="6">
        <f t="shared" si="27"/>
        <v>0</v>
      </c>
      <c r="S47" s="2"/>
      <c r="T47" s="7">
        <v>756.6</v>
      </c>
      <c r="U47" s="2"/>
      <c r="V47" s="6">
        <f t="shared" si="28"/>
        <v>1.369624955196646E-3</v>
      </c>
      <c r="W47" s="2"/>
      <c r="X47" s="7">
        <f t="shared" si="29"/>
        <v>-756.6</v>
      </c>
      <c r="Y47" s="2"/>
      <c r="Z47" s="6">
        <f t="shared" si="30"/>
        <v>-1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3"/>
        <v>0</v>
      </c>
      <c r="G48" s="2"/>
      <c r="H48" s="7">
        <v>11702.984</v>
      </c>
      <c r="I48" s="2"/>
      <c r="J48" s="6">
        <f t="shared" si="24"/>
        <v>0.1277437044960868</v>
      </c>
      <c r="K48" s="2"/>
      <c r="L48" s="7">
        <f t="shared" si="25"/>
        <v>-11702.984</v>
      </c>
      <c r="M48" s="2"/>
      <c r="N48" s="6">
        <f t="shared" si="26"/>
        <v>-1</v>
      </c>
      <c r="O48" s="11"/>
      <c r="P48" s="7"/>
      <c r="Q48" s="2"/>
      <c r="R48" s="6">
        <f t="shared" si="27"/>
        <v>0</v>
      </c>
      <c r="S48" s="2"/>
      <c r="T48" s="7">
        <v>62045.014000000003</v>
      </c>
      <c r="U48" s="2"/>
      <c r="V48" s="6">
        <f t="shared" si="28"/>
        <v>0.11231615056823326</v>
      </c>
      <c r="W48" s="2"/>
      <c r="X48" s="7">
        <f t="shared" si="29"/>
        <v>-62045.014000000003</v>
      </c>
      <c r="Y48" s="2"/>
      <c r="Z48" s="6">
        <f t="shared" si="30"/>
        <v>-1</v>
      </c>
    </row>
    <row r="49" spans="1:26" s="24" customFormat="1" hidden="1" outlineLevel="2" x14ac:dyDescent="0.25">
      <c r="A49" s="26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23"/>
        <v>0</v>
      </c>
      <c r="G49" s="2"/>
      <c r="H49" s="7">
        <v>0</v>
      </c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/>
      <c r="Q49" s="2"/>
      <c r="R49" s="6">
        <f t="shared" si="27"/>
        <v>0</v>
      </c>
      <c r="S49" s="2"/>
      <c r="T49" s="7">
        <v>0</v>
      </c>
      <c r="U49" s="2"/>
      <c r="V49" s="6">
        <f t="shared" si="28"/>
        <v>0</v>
      </c>
      <c r="W49" s="2"/>
      <c r="X49" s="7">
        <f t="shared" si="29"/>
        <v>0</v>
      </c>
      <c r="Y49" s="2"/>
      <c r="Z49" s="6">
        <f t="shared" si="30"/>
        <v>0</v>
      </c>
    </row>
    <row r="50" spans="1:26" s="24" customFormat="1" hidden="1" outlineLevel="2" x14ac:dyDescent="0.25">
      <c r="A50" s="26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/>
      <c r="Q50" s="2"/>
      <c r="R50" s="6">
        <f t="shared" si="27"/>
        <v>0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0</v>
      </c>
      <c r="Y50" s="2"/>
      <c r="Z50" s="6">
        <f t="shared" si="30"/>
        <v>0</v>
      </c>
    </row>
    <row r="51" spans="1:26" s="25" customFormat="1" outlineLevel="1" collapsed="1" x14ac:dyDescent="0.25">
      <c r="A51" s="27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0</v>
      </c>
      <c r="E51" s="1"/>
      <c r="F51" s="5">
        <f t="shared" ref="F51:F59" si="31">IF(D$12=0,0,D51/D$12)</f>
        <v>0</v>
      </c>
      <c r="G51" s="1"/>
      <c r="H51" s="1">
        <f>SUM(OSRRefH22_2x_0)</f>
        <v>280</v>
      </c>
      <c r="I51" s="1"/>
      <c r="J51" s="5">
        <f t="shared" ref="J51:J59" si="32">IF(H$12=0,0,H51/H$12)</f>
        <v>3.0563347996463383E-3</v>
      </c>
      <c r="K51" s="1"/>
      <c r="L51" s="1">
        <f t="shared" ref="L51:L59" si="33">+D51-H51</f>
        <v>-280</v>
      </c>
      <c r="M51" s="1"/>
      <c r="N51" s="5">
        <f t="shared" ref="N51:N59" si="34">IF(H51=0,0,L51/H51)</f>
        <v>-1</v>
      </c>
      <c r="O51" s="13"/>
      <c r="P51" s="1">
        <f>SUM(OSRRefP22_2x_0)</f>
        <v>0</v>
      </c>
      <c r="Q51" s="1"/>
      <c r="R51" s="5">
        <f t="shared" ref="R51:R59" si="35">IF(P$12=0,0,P51/P$12)</f>
        <v>0</v>
      </c>
      <c r="S51" s="1"/>
      <c r="T51" s="1">
        <f>SUM(OSRRefT22_2x_0)</f>
        <v>3149</v>
      </c>
      <c r="U51" s="1"/>
      <c r="V51" s="5">
        <f t="shared" ref="V51:V59" si="36">IF(T$12=0,0,T51/T$12)</f>
        <v>5.7004348188134258E-3</v>
      </c>
      <c r="W51" s="1"/>
      <c r="X51" s="1">
        <f t="shared" ref="X51:X59" si="37">+P51-T51</f>
        <v>-3149</v>
      </c>
      <c r="Y51" s="1"/>
      <c r="Z51" s="5">
        <f t="shared" ref="Z51:Z59" si="38">IF(T51=0,0,X51/T51)</f>
        <v>-1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31"/>
        <v>0</v>
      </c>
      <c r="G52" s="2"/>
      <c r="H52" s="7">
        <v>280</v>
      </c>
      <c r="I52" s="2"/>
      <c r="J52" s="6">
        <f t="shared" si="32"/>
        <v>3.0563347996463383E-3</v>
      </c>
      <c r="K52" s="2"/>
      <c r="L52" s="7">
        <f t="shared" si="33"/>
        <v>-280</v>
      </c>
      <c r="M52" s="2"/>
      <c r="N52" s="6">
        <f t="shared" si="34"/>
        <v>-1</v>
      </c>
      <c r="O52" s="11"/>
      <c r="P52" s="7"/>
      <c r="Q52" s="2"/>
      <c r="R52" s="6">
        <f t="shared" si="35"/>
        <v>0</v>
      </c>
      <c r="S52" s="2"/>
      <c r="T52" s="7">
        <v>3149</v>
      </c>
      <c r="U52" s="2"/>
      <c r="V52" s="6">
        <f t="shared" si="36"/>
        <v>5.7004348188134258E-3</v>
      </c>
      <c r="W52" s="2"/>
      <c r="X52" s="7">
        <f t="shared" si="37"/>
        <v>-3149</v>
      </c>
      <c r="Y52" s="2"/>
      <c r="Z52" s="6">
        <f t="shared" si="38"/>
        <v>-1</v>
      </c>
    </row>
    <row r="53" spans="1:26" s="25" customFormat="1" outlineLevel="1" collapsed="1" x14ac:dyDescent="0.25">
      <c r="A53" s="27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0</v>
      </c>
      <c r="E53" s="1"/>
      <c r="F53" s="5">
        <f t="shared" si="31"/>
        <v>0</v>
      </c>
      <c r="G53" s="1"/>
      <c r="H53" s="1">
        <f>SUM(OSRRefH22_3x_0)</f>
        <v>7</v>
      </c>
      <c r="I53" s="1"/>
      <c r="J53" s="5">
        <f t="shared" si="32"/>
        <v>7.6408369991158456E-5</v>
      </c>
      <c r="K53" s="1"/>
      <c r="L53" s="1">
        <f t="shared" si="33"/>
        <v>-7</v>
      </c>
      <c r="M53" s="1"/>
      <c r="N53" s="5">
        <f t="shared" si="34"/>
        <v>-1</v>
      </c>
      <c r="O53" s="13"/>
      <c r="P53" s="1">
        <f>SUM(OSRRefP22_3x_0)</f>
        <v>3.31</v>
      </c>
      <c r="Q53" s="1"/>
      <c r="R53" s="5">
        <f t="shared" si="35"/>
        <v>1.1521378945463152E-3</v>
      </c>
      <c r="S53" s="1"/>
      <c r="T53" s="1">
        <f>SUM(OSRRefT22_3x_0)</f>
        <v>79</v>
      </c>
      <c r="U53" s="1"/>
      <c r="V53" s="5">
        <f t="shared" si="36"/>
        <v>1.4300868551484936E-4</v>
      </c>
      <c r="W53" s="1"/>
      <c r="X53" s="1">
        <f t="shared" si="37"/>
        <v>-75.69</v>
      </c>
      <c r="Y53" s="1"/>
      <c r="Z53" s="5">
        <f t="shared" si="38"/>
        <v>-0.95810126582278476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7"/>
      <c r="E54" s="2"/>
      <c r="F54" s="6">
        <f t="shared" si="31"/>
        <v>0</v>
      </c>
      <c r="G54" s="2"/>
      <c r="H54" s="7">
        <v>7</v>
      </c>
      <c r="I54" s="2"/>
      <c r="J54" s="6">
        <f t="shared" si="32"/>
        <v>7.6408369991158456E-5</v>
      </c>
      <c r="K54" s="2"/>
      <c r="L54" s="7">
        <f t="shared" si="33"/>
        <v>-7</v>
      </c>
      <c r="M54" s="2"/>
      <c r="N54" s="6">
        <f t="shared" si="34"/>
        <v>-1</v>
      </c>
      <c r="O54" s="11"/>
      <c r="P54" s="7">
        <v>3.31</v>
      </c>
      <c r="Q54" s="2"/>
      <c r="R54" s="6">
        <f t="shared" si="35"/>
        <v>1.1521378945463152E-3</v>
      </c>
      <c r="S54" s="2"/>
      <c r="T54" s="7">
        <v>79</v>
      </c>
      <c r="U54" s="2"/>
      <c r="V54" s="6">
        <f t="shared" si="36"/>
        <v>1.4300868551484936E-4</v>
      </c>
      <c r="W54" s="2"/>
      <c r="X54" s="7">
        <f t="shared" si="37"/>
        <v>-75.69</v>
      </c>
      <c r="Y54" s="2"/>
      <c r="Z54" s="6">
        <f t="shared" si="38"/>
        <v>-0.95810126582278476</v>
      </c>
    </row>
    <row r="55" spans="1:26" s="25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736.54</v>
      </c>
      <c r="E55" s="1"/>
      <c r="F55" s="5">
        <f t="shared" si="31"/>
        <v>14.191522157996147</v>
      </c>
      <c r="G55" s="1"/>
      <c r="H55" s="1">
        <f>SUM(OSRRefH22_4x_0)</f>
        <v>5439</v>
      </c>
      <c r="I55" s="1"/>
      <c r="J55" s="5">
        <f t="shared" si="32"/>
        <v>5.9369303483130124E-2</v>
      </c>
      <c r="K55" s="1"/>
      <c r="L55" s="1">
        <f t="shared" si="33"/>
        <v>-4702.46</v>
      </c>
      <c r="M55" s="1"/>
      <c r="N55" s="5">
        <f t="shared" si="34"/>
        <v>-0.86458172458172455</v>
      </c>
      <c r="O55" s="13"/>
      <c r="P55" s="1">
        <f>SUM(OSRRefP22_4x_0)</f>
        <v>2324.7199999999998</v>
      </c>
      <c r="Q55" s="1"/>
      <c r="R55" s="5">
        <f t="shared" si="35"/>
        <v>0.8091836876766495</v>
      </c>
      <c r="S55" s="1"/>
      <c r="T55" s="1">
        <f>SUM(OSRRefT22_4x_0)</f>
        <v>43803</v>
      </c>
      <c r="U55" s="1"/>
      <c r="V55" s="5">
        <f t="shared" si="36"/>
        <v>7.929379052667021E-2</v>
      </c>
      <c r="W55" s="1"/>
      <c r="X55" s="1">
        <f t="shared" si="37"/>
        <v>-41478.28</v>
      </c>
      <c r="Y55" s="1"/>
      <c r="Z55" s="5">
        <f t="shared" si="38"/>
        <v>-0.94692783599296848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7">
        <v>736.54</v>
      </c>
      <c r="E56" s="2"/>
      <c r="F56" s="6">
        <f t="shared" si="31"/>
        <v>14.191522157996147</v>
      </c>
      <c r="G56" s="2"/>
      <c r="H56" s="7">
        <v>5439</v>
      </c>
      <c r="I56" s="2"/>
      <c r="J56" s="6">
        <f t="shared" si="32"/>
        <v>5.9369303483130124E-2</v>
      </c>
      <c r="K56" s="2"/>
      <c r="L56" s="7">
        <f t="shared" si="33"/>
        <v>-4702.46</v>
      </c>
      <c r="M56" s="2"/>
      <c r="N56" s="6">
        <f t="shared" si="34"/>
        <v>-0.86458172458172455</v>
      </c>
      <c r="O56" s="11"/>
      <c r="P56" s="7">
        <v>2324.7199999999998</v>
      </c>
      <c r="Q56" s="2"/>
      <c r="R56" s="6">
        <f t="shared" si="35"/>
        <v>0.8091836876766495</v>
      </c>
      <c r="S56" s="2"/>
      <c r="T56" s="7">
        <v>43803</v>
      </c>
      <c r="U56" s="2"/>
      <c r="V56" s="6">
        <f t="shared" si="36"/>
        <v>7.929379052667021E-2</v>
      </c>
      <c r="W56" s="2"/>
      <c r="X56" s="7">
        <f t="shared" si="37"/>
        <v>-41478.28</v>
      </c>
      <c r="Y56" s="2"/>
      <c r="Z56" s="6">
        <f t="shared" si="38"/>
        <v>-0.94692783599296848</v>
      </c>
    </row>
    <row r="57" spans="1:26" s="25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9152.09</v>
      </c>
      <c r="E57" s="1"/>
      <c r="F57" s="5">
        <f t="shared" si="31"/>
        <v>176.34084778420041</v>
      </c>
      <c r="G57" s="1"/>
      <c r="H57" s="1">
        <f>SUM(OSRRefH22_5x_0)</f>
        <v>8563</v>
      </c>
      <c r="I57" s="1"/>
      <c r="J57" s="5">
        <f t="shared" si="32"/>
        <v>9.3469267462041414E-2</v>
      </c>
      <c r="K57" s="1"/>
      <c r="L57" s="1">
        <f t="shared" si="33"/>
        <v>589.09000000000015</v>
      </c>
      <c r="M57" s="1"/>
      <c r="N57" s="5">
        <f t="shared" si="34"/>
        <v>6.8794814901319654E-2</v>
      </c>
      <c r="O57" s="13"/>
      <c r="P57" s="1">
        <f>SUM(OSRRefP22_5x_0)</f>
        <v>91702.18</v>
      </c>
      <c r="Q57" s="1"/>
      <c r="R57" s="5">
        <f t="shared" si="35"/>
        <v>31.919503501663808</v>
      </c>
      <c r="S57" s="1"/>
      <c r="T57" s="1">
        <f>SUM(OSRRefT22_5x_0)</f>
        <v>86078</v>
      </c>
      <c r="U57" s="1"/>
      <c r="V57" s="5">
        <f t="shared" si="36"/>
        <v>0.15582153964236967</v>
      </c>
      <c r="W57" s="1"/>
      <c r="X57" s="1">
        <f t="shared" si="37"/>
        <v>5624.179999999993</v>
      </c>
      <c r="Y57" s="1"/>
      <c r="Z57" s="5">
        <f t="shared" si="38"/>
        <v>6.5338181649201799E-2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7">
        <v>5080.51</v>
      </c>
      <c r="E58" s="2"/>
      <c r="F58" s="6">
        <f t="shared" si="31"/>
        <v>97.890366088631993</v>
      </c>
      <c r="G58" s="2"/>
      <c r="H58" s="7"/>
      <c r="I58" s="2"/>
      <c r="J58" s="6">
        <f t="shared" si="32"/>
        <v>0</v>
      </c>
      <c r="K58" s="2"/>
      <c r="L58" s="7">
        <f t="shared" si="33"/>
        <v>5080.51</v>
      </c>
      <c r="M58" s="2"/>
      <c r="N58" s="6">
        <f t="shared" si="34"/>
        <v>0</v>
      </c>
      <c r="O58" s="11"/>
      <c r="P58" s="7">
        <v>50805.1</v>
      </c>
      <c r="Q58" s="2"/>
      <c r="R58" s="6">
        <f t="shared" si="35"/>
        <v>17.684133216379152</v>
      </c>
      <c r="S58" s="2"/>
      <c r="T58" s="7"/>
      <c r="U58" s="2"/>
      <c r="V58" s="6">
        <f t="shared" si="36"/>
        <v>0</v>
      </c>
      <c r="W58" s="2"/>
      <c r="X58" s="7">
        <f t="shared" si="37"/>
        <v>50805.1</v>
      </c>
      <c r="Y58" s="2"/>
      <c r="Z58" s="6">
        <f t="shared" si="38"/>
        <v>0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4071.58</v>
      </c>
      <c r="E59" s="2"/>
      <c r="F59" s="6">
        <f t="shared" si="31"/>
        <v>78.450481695568399</v>
      </c>
      <c r="G59" s="2"/>
      <c r="H59" s="7">
        <v>8563</v>
      </c>
      <c r="I59" s="2"/>
      <c r="J59" s="6">
        <f t="shared" si="32"/>
        <v>9.3469267462041414E-2</v>
      </c>
      <c r="K59" s="2"/>
      <c r="L59" s="7">
        <f t="shared" si="33"/>
        <v>-4491.42</v>
      </c>
      <c r="M59" s="2"/>
      <c r="N59" s="6">
        <f t="shared" si="34"/>
        <v>-0.52451477285997894</v>
      </c>
      <c r="O59" s="11"/>
      <c r="P59" s="7">
        <v>40897.08</v>
      </c>
      <c r="Q59" s="2"/>
      <c r="R59" s="6">
        <f t="shared" si="35"/>
        <v>14.235370285284658</v>
      </c>
      <c r="S59" s="2"/>
      <c r="T59" s="7">
        <v>86078</v>
      </c>
      <c r="U59" s="2"/>
      <c r="V59" s="6">
        <f t="shared" si="36"/>
        <v>0.15582153964236967</v>
      </c>
      <c r="W59" s="2"/>
      <c r="X59" s="7">
        <f t="shared" si="37"/>
        <v>-45180.92</v>
      </c>
      <c r="Y59" s="2"/>
      <c r="Z59" s="6">
        <f t="shared" si="38"/>
        <v>-0.52488347777597066</v>
      </c>
    </row>
    <row r="60" spans="1:26" s="25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8" si="39">IF(D$12=0,0,D60/D$12)</f>
        <v>0</v>
      </c>
      <c r="G60" s="1"/>
      <c r="H60" s="1">
        <f>SUM(OSRRefH22_6x_0)</f>
        <v>100</v>
      </c>
      <c r="I60" s="1"/>
      <c r="J60" s="5">
        <f t="shared" ref="J60:J78" si="40">IF(H$12=0,0,H60/H$12)</f>
        <v>1.0915481427308351E-3</v>
      </c>
      <c r="K60" s="1"/>
      <c r="L60" s="1">
        <f t="shared" ref="L60:L78" si="41">+D60-H60</f>
        <v>-100</v>
      </c>
      <c r="M60" s="1"/>
      <c r="N60" s="5">
        <f t="shared" ref="N60:N78" si="42">IF(H60=0,0,L60/H60)</f>
        <v>-1</v>
      </c>
      <c r="O60" s="13"/>
      <c r="P60" s="1">
        <f>SUM(OSRRefP22_6x_0)</f>
        <v>0</v>
      </c>
      <c r="Q60" s="1"/>
      <c r="R60" s="5">
        <f t="shared" ref="R60:R78" si="43">IF(P$12=0,0,P60/P$12)</f>
        <v>0</v>
      </c>
      <c r="S60" s="1"/>
      <c r="T60" s="1">
        <f>SUM(OSRRefT22_6x_0)</f>
        <v>150</v>
      </c>
      <c r="U60" s="1"/>
      <c r="V60" s="5">
        <f t="shared" ref="V60:V78" si="44">IF(T$12=0,0,T60/T$12)</f>
        <v>2.7153547882566336E-4</v>
      </c>
      <c r="W60" s="1"/>
      <c r="X60" s="1">
        <f t="shared" ref="X60:X78" si="45">+P60-T60</f>
        <v>-150</v>
      </c>
      <c r="Y60" s="1"/>
      <c r="Z60" s="5">
        <f t="shared" ref="Z60:Z78" si="46">IF(T60=0,0,X60/T60)</f>
        <v>-1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39"/>
        <v>0</v>
      </c>
      <c r="G61" s="2"/>
      <c r="H61" s="7">
        <v>100</v>
      </c>
      <c r="I61" s="2"/>
      <c r="J61" s="6">
        <f t="shared" si="40"/>
        <v>1.0915481427308351E-3</v>
      </c>
      <c r="K61" s="2"/>
      <c r="L61" s="7">
        <f t="shared" si="41"/>
        <v>-100</v>
      </c>
      <c r="M61" s="2"/>
      <c r="N61" s="6">
        <f t="shared" si="42"/>
        <v>-1</v>
      </c>
      <c r="O61" s="11"/>
      <c r="P61" s="7"/>
      <c r="Q61" s="2"/>
      <c r="R61" s="6">
        <f t="shared" si="43"/>
        <v>0</v>
      </c>
      <c r="S61" s="2"/>
      <c r="T61" s="7">
        <v>150</v>
      </c>
      <c r="U61" s="2"/>
      <c r="V61" s="6">
        <f t="shared" si="44"/>
        <v>2.7153547882566336E-4</v>
      </c>
      <c r="W61" s="2"/>
      <c r="X61" s="7">
        <f t="shared" si="45"/>
        <v>-150</v>
      </c>
      <c r="Y61" s="2"/>
      <c r="Z61" s="6">
        <f t="shared" si="46"/>
        <v>-1</v>
      </c>
    </row>
    <row r="62" spans="1:26" s="25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176.4</v>
      </c>
      <c r="E62" s="1"/>
      <c r="F62" s="5">
        <f t="shared" si="39"/>
        <v>3.3988439306358385</v>
      </c>
      <c r="G62" s="1"/>
      <c r="H62" s="1">
        <f>SUM(OSRRefH22_7x_0)</f>
        <v>146</v>
      </c>
      <c r="I62" s="1"/>
      <c r="J62" s="5">
        <f t="shared" si="40"/>
        <v>1.5936602883870193E-3</v>
      </c>
      <c r="K62" s="1"/>
      <c r="L62" s="1">
        <f t="shared" si="41"/>
        <v>30.400000000000006</v>
      </c>
      <c r="M62" s="1"/>
      <c r="N62" s="5">
        <f t="shared" si="42"/>
        <v>0.20821917808219181</v>
      </c>
      <c r="O62" s="13"/>
      <c r="P62" s="1">
        <f>SUM(OSRRefP22_7x_0)</f>
        <v>617.35</v>
      </c>
      <c r="Q62" s="1"/>
      <c r="R62" s="5">
        <f t="shared" si="43"/>
        <v>0.21488590005986941</v>
      </c>
      <c r="S62" s="1"/>
      <c r="T62" s="1">
        <f>SUM(OSRRefT22_7x_0)</f>
        <v>1022</v>
      </c>
      <c r="U62" s="1"/>
      <c r="V62" s="5">
        <f t="shared" si="44"/>
        <v>1.8500617290655196E-3</v>
      </c>
      <c r="W62" s="1"/>
      <c r="X62" s="1">
        <f t="shared" si="45"/>
        <v>-404.65</v>
      </c>
      <c r="Y62" s="1"/>
      <c r="Z62" s="5">
        <f t="shared" si="46"/>
        <v>-0.39593933463796477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7">
        <v>176.4</v>
      </c>
      <c r="E63" s="2"/>
      <c r="F63" s="6">
        <f t="shared" si="39"/>
        <v>3.3988439306358385</v>
      </c>
      <c r="G63" s="2"/>
      <c r="H63" s="7">
        <v>146</v>
      </c>
      <c r="I63" s="2"/>
      <c r="J63" s="6">
        <f t="shared" si="40"/>
        <v>1.5936602883870193E-3</v>
      </c>
      <c r="K63" s="2"/>
      <c r="L63" s="7">
        <f t="shared" si="41"/>
        <v>30.400000000000006</v>
      </c>
      <c r="M63" s="2"/>
      <c r="N63" s="6">
        <f t="shared" si="42"/>
        <v>0.20821917808219181</v>
      </c>
      <c r="O63" s="11"/>
      <c r="P63" s="7">
        <v>617.35</v>
      </c>
      <c r="Q63" s="2"/>
      <c r="R63" s="6">
        <f t="shared" si="43"/>
        <v>0.21488590005986941</v>
      </c>
      <c r="S63" s="2"/>
      <c r="T63" s="7">
        <v>1022</v>
      </c>
      <c r="U63" s="2"/>
      <c r="V63" s="6">
        <f t="shared" si="44"/>
        <v>1.8500617290655196E-3</v>
      </c>
      <c r="W63" s="2"/>
      <c r="X63" s="7">
        <f t="shared" si="45"/>
        <v>-404.65</v>
      </c>
      <c r="Y63" s="2"/>
      <c r="Z63" s="6">
        <f t="shared" si="46"/>
        <v>-0.39593933463796477</v>
      </c>
    </row>
    <row r="64" spans="1:26" s="25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30.28</v>
      </c>
      <c r="E64" s="1"/>
      <c r="F64" s="5">
        <f t="shared" si="39"/>
        <v>0.58342967244701349</v>
      </c>
      <c r="G64" s="1"/>
      <c r="H64" s="1">
        <f>SUM(OSRRefH22_8x_0)</f>
        <v>0</v>
      </c>
      <c r="I64" s="1"/>
      <c r="J64" s="5">
        <f t="shared" si="40"/>
        <v>0</v>
      </c>
      <c r="K64" s="1"/>
      <c r="L64" s="1">
        <f t="shared" si="41"/>
        <v>30.28</v>
      </c>
      <c r="M64" s="1"/>
      <c r="N64" s="5">
        <f t="shared" si="42"/>
        <v>0</v>
      </c>
      <c r="O64" s="13"/>
      <c r="P64" s="1">
        <f>SUM(OSRRefP22_8x_0)</f>
        <v>280.10000000000002</v>
      </c>
      <c r="Q64" s="1"/>
      <c r="R64" s="5">
        <f t="shared" si="43"/>
        <v>9.749662364423653E-2</v>
      </c>
      <c r="S64" s="1"/>
      <c r="T64" s="1">
        <f>SUM(OSRRefT22_8x_0)</f>
        <v>0</v>
      </c>
      <c r="U64" s="1"/>
      <c r="V64" s="5">
        <f t="shared" si="44"/>
        <v>0</v>
      </c>
      <c r="W64" s="1"/>
      <c r="X64" s="1">
        <f t="shared" si="45"/>
        <v>280.10000000000002</v>
      </c>
      <c r="Y64" s="1"/>
      <c r="Z64" s="5">
        <f t="shared" si="46"/>
        <v>0</v>
      </c>
    </row>
    <row r="65" spans="1:26" s="24" customFormat="1" hidden="1" outlineLevel="2" x14ac:dyDescent="0.25">
      <c r="A65" s="26"/>
      <c r="B65" s="11" t="str">
        <f>CONCATENATE("          ", "6305", " - ", "FREIGHT OUT")</f>
        <v xml:space="preserve">          6305 - FREIGHT OUT</v>
      </c>
      <c r="C65" s="11"/>
      <c r="D65" s="7">
        <v>30.28</v>
      </c>
      <c r="E65" s="2"/>
      <c r="F65" s="6">
        <f t="shared" si="39"/>
        <v>0.58342967244701349</v>
      </c>
      <c r="G65" s="2"/>
      <c r="H65" s="7"/>
      <c r="I65" s="2"/>
      <c r="J65" s="6">
        <f t="shared" si="40"/>
        <v>0</v>
      </c>
      <c r="K65" s="2"/>
      <c r="L65" s="7">
        <f t="shared" si="41"/>
        <v>30.28</v>
      </c>
      <c r="M65" s="2"/>
      <c r="N65" s="6">
        <f t="shared" si="42"/>
        <v>0</v>
      </c>
      <c r="O65" s="11"/>
      <c r="P65" s="7">
        <v>280.10000000000002</v>
      </c>
      <c r="Q65" s="2"/>
      <c r="R65" s="6">
        <f t="shared" si="43"/>
        <v>9.749662364423653E-2</v>
      </c>
      <c r="S65" s="2"/>
      <c r="T65" s="7"/>
      <c r="U65" s="2"/>
      <c r="V65" s="6">
        <f t="shared" si="44"/>
        <v>0</v>
      </c>
      <c r="W65" s="2"/>
      <c r="X65" s="7">
        <f t="shared" si="45"/>
        <v>280.10000000000002</v>
      </c>
      <c r="Y65" s="2"/>
      <c r="Z65" s="6">
        <f t="shared" si="46"/>
        <v>0</v>
      </c>
    </row>
    <row r="66" spans="1:26" s="25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120</v>
      </c>
      <c r="E66" s="1"/>
      <c r="F66" s="5">
        <f t="shared" si="39"/>
        <v>2.3121387283236996</v>
      </c>
      <c r="G66" s="1"/>
      <c r="H66" s="1">
        <f>SUM(OSRRefH22_9x_0)</f>
        <v>0</v>
      </c>
      <c r="I66" s="1"/>
      <c r="J66" s="5">
        <f t="shared" si="40"/>
        <v>0</v>
      </c>
      <c r="K66" s="1"/>
      <c r="L66" s="1">
        <f t="shared" si="41"/>
        <v>120</v>
      </c>
      <c r="M66" s="1"/>
      <c r="N66" s="5">
        <f t="shared" si="42"/>
        <v>0</v>
      </c>
      <c r="O66" s="13"/>
      <c r="P66" s="1">
        <f>SUM(OSRRefP22_9x_0)</f>
        <v>3554.86</v>
      </c>
      <c r="Q66" s="1"/>
      <c r="R66" s="5">
        <f t="shared" si="43"/>
        <v>1.2373682525096417</v>
      </c>
      <c r="S66" s="1"/>
      <c r="T66" s="1">
        <f>SUM(OSRRefT22_9x_0)</f>
        <v>3150</v>
      </c>
      <c r="U66" s="1"/>
      <c r="V66" s="5">
        <f t="shared" si="44"/>
        <v>5.7022450553389304E-3</v>
      </c>
      <c r="W66" s="1"/>
      <c r="X66" s="1">
        <f t="shared" si="45"/>
        <v>404.86000000000013</v>
      </c>
      <c r="Y66" s="1"/>
      <c r="Z66" s="5">
        <f t="shared" si="46"/>
        <v>0.12852698412698416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7">
        <v>120</v>
      </c>
      <c r="E67" s="2"/>
      <c r="F67" s="6">
        <f t="shared" si="39"/>
        <v>2.3121387283236996</v>
      </c>
      <c r="G67" s="2"/>
      <c r="H67" s="7"/>
      <c r="I67" s="2"/>
      <c r="J67" s="6">
        <f t="shared" si="40"/>
        <v>0</v>
      </c>
      <c r="K67" s="2"/>
      <c r="L67" s="7">
        <f t="shared" si="41"/>
        <v>120</v>
      </c>
      <c r="M67" s="2"/>
      <c r="N67" s="6">
        <f t="shared" si="42"/>
        <v>0</v>
      </c>
      <c r="O67" s="11"/>
      <c r="P67" s="7">
        <v>3554.86</v>
      </c>
      <c r="Q67" s="2"/>
      <c r="R67" s="6">
        <f t="shared" si="43"/>
        <v>1.2373682525096417</v>
      </c>
      <c r="S67" s="2"/>
      <c r="T67" s="7">
        <v>3150</v>
      </c>
      <c r="U67" s="2"/>
      <c r="V67" s="6">
        <f t="shared" si="44"/>
        <v>5.7022450553389304E-3</v>
      </c>
      <c r="W67" s="2"/>
      <c r="X67" s="7">
        <f t="shared" si="45"/>
        <v>404.86000000000013</v>
      </c>
      <c r="Y67" s="2"/>
      <c r="Z67" s="6">
        <f t="shared" si="46"/>
        <v>0.12852698412698416</v>
      </c>
    </row>
    <row r="68" spans="1:26" s="25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243.54</v>
      </c>
      <c r="E68" s="1"/>
      <c r="F68" s="5">
        <f t="shared" si="39"/>
        <v>4.6924855491329476</v>
      </c>
      <c r="G68" s="1"/>
      <c r="H68" s="1">
        <f>SUM(OSRRefH22_10x_0)</f>
        <v>270</v>
      </c>
      <c r="I68" s="1"/>
      <c r="J68" s="5">
        <f t="shared" si="40"/>
        <v>2.9471799853732551E-3</v>
      </c>
      <c r="K68" s="1"/>
      <c r="L68" s="1">
        <f t="shared" si="41"/>
        <v>-26.460000000000008</v>
      </c>
      <c r="M68" s="1"/>
      <c r="N68" s="5">
        <f t="shared" si="42"/>
        <v>-9.8000000000000032E-2</v>
      </c>
      <c r="O68" s="13"/>
      <c r="P68" s="1">
        <f>SUM(OSRRefP22_10x_0)</f>
        <v>2435.4</v>
      </c>
      <c r="Q68" s="1"/>
      <c r="R68" s="5">
        <f t="shared" si="43"/>
        <v>0.84770895117163025</v>
      </c>
      <c r="S68" s="1"/>
      <c r="T68" s="1">
        <f>SUM(OSRRefT22_10x_0)</f>
        <v>2700</v>
      </c>
      <c r="U68" s="1"/>
      <c r="V68" s="5">
        <f t="shared" si="44"/>
        <v>4.8876386188619406E-3</v>
      </c>
      <c r="W68" s="1"/>
      <c r="X68" s="1">
        <f t="shared" si="45"/>
        <v>-264.59999999999991</v>
      </c>
      <c r="Y68" s="1"/>
      <c r="Z68" s="5">
        <f t="shared" si="46"/>
        <v>-9.7999999999999962E-2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7">
        <v>243.54</v>
      </c>
      <c r="E69" s="2"/>
      <c r="F69" s="6">
        <f t="shared" si="39"/>
        <v>4.6924855491329476</v>
      </c>
      <c r="G69" s="2"/>
      <c r="H69" s="7">
        <v>270</v>
      </c>
      <c r="I69" s="2"/>
      <c r="J69" s="6">
        <f t="shared" si="40"/>
        <v>2.9471799853732551E-3</v>
      </c>
      <c r="K69" s="2"/>
      <c r="L69" s="7">
        <f t="shared" si="41"/>
        <v>-26.460000000000008</v>
      </c>
      <c r="M69" s="2"/>
      <c r="N69" s="6">
        <f t="shared" si="42"/>
        <v>-9.8000000000000032E-2</v>
      </c>
      <c r="O69" s="11"/>
      <c r="P69" s="7">
        <v>2435.4</v>
      </c>
      <c r="Q69" s="2"/>
      <c r="R69" s="6">
        <f t="shared" si="43"/>
        <v>0.84770895117163025</v>
      </c>
      <c r="S69" s="2"/>
      <c r="T69" s="7">
        <v>2700</v>
      </c>
      <c r="U69" s="2"/>
      <c r="V69" s="6">
        <f t="shared" si="44"/>
        <v>4.8876386188619406E-3</v>
      </c>
      <c r="W69" s="2"/>
      <c r="X69" s="7">
        <f t="shared" si="45"/>
        <v>-264.59999999999991</v>
      </c>
      <c r="Y69" s="2"/>
      <c r="Z69" s="6">
        <f t="shared" si="46"/>
        <v>-9.7999999999999962E-2</v>
      </c>
    </row>
    <row r="70" spans="1:26" s="25" customFormat="1" outlineLevel="1" collapsed="1" x14ac:dyDescent="0.25">
      <c r="A70" s="27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3213</v>
      </c>
      <c r="E70" s="1"/>
      <c r="F70" s="5">
        <f t="shared" si="39"/>
        <v>61.907514450867055</v>
      </c>
      <c r="G70" s="1"/>
      <c r="H70" s="1">
        <f>SUM(OSRRefH22_11x_0)</f>
        <v>4044</v>
      </c>
      <c r="I70" s="1"/>
      <c r="J70" s="5">
        <f t="shared" si="40"/>
        <v>4.414220689203497E-2</v>
      </c>
      <c r="K70" s="1"/>
      <c r="L70" s="1">
        <f t="shared" si="41"/>
        <v>-831</v>
      </c>
      <c r="M70" s="1"/>
      <c r="N70" s="5">
        <f t="shared" si="42"/>
        <v>-0.20548961424332343</v>
      </c>
      <c r="O70" s="13"/>
      <c r="P70" s="1">
        <f>SUM(OSRRefP22_11x_0)</f>
        <v>39346.85</v>
      </c>
      <c r="Q70" s="1"/>
      <c r="R70" s="5">
        <f t="shared" si="43"/>
        <v>13.695769461036157</v>
      </c>
      <c r="S70" s="1"/>
      <c r="T70" s="1">
        <f>SUM(OSRRefT22_11x_0)</f>
        <v>40440</v>
      </c>
      <c r="U70" s="1"/>
      <c r="V70" s="5">
        <f t="shared" si="44"/>
        <v>7.3205965091398845E-2</v>
      </c>
      <c r="W70" s="1"/>
      <c r="X70" s="1">
        <f t="shared" si="45"/>
        <v>-1093.1500000000015</v>
      </c>
      <c r="Y70" s="1"/>
      <c r="Z70" s="5">
        <f t="shared" si="46"/>
        <v>-2.703140454995058E-2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7">
        <v>3213</v>
      </c>
      <c r="E71" s="2"/>
      <c r="F71" s="6">
        <f t="shared" si="39"/>
        <v>61.907514450867055</v>
      </c>
      <c r="G71" s="2"/>
      <c r="H71" s="7">
        <v>4044</v>
      </c>
      <c r="I71" s="2"/>
      <c r="J71" s="6">
        <f t="shared" si="40"/>
        <v>4.414220689203497E-2</v>
      </c>
      <c r="K71" s="2"/>
      <c r="L71" s="7">
        <f t="shared" si="41"/>
        <v>-831</v>
      </c>
      <c r="M71" s="2"/>
      <c r="N71" s="6">
        <f t="shared" si="42"/>
        <v>-0.20548961424332343</v>
      </c>
      <c r="O71" s="11"/>
      <c r="P71" s="7">
        <v>39346.85</v>
      </c>
      <c r="Q71" s="2"/>
      <c r="R71" s="6">
        <f t="shared" si="43"/>
        <v>13.695769461036157</v>
      </c>
      <c r="S71" s="2"/>
      <c r="T71" s="7">
        <v>40440</v>
      </c>
      <c r="U71" s="2"/>
      <c r="V71" s="6">
        <f t="shared" si="44"/>
        <v>7.3205965091398845E-2</v>
      </c>
      <c r="W71" s="2"/>
      <c r="X71" s="7">
        <f t="shared" si="45"/>
        <v>-1093.1500000000015</v>
      </c>
      <c r="Y71" s="2"/>
      <c r="Z71" s="6">
        <f t="shared" si="46"/>
        <v>-2.703140454995058E-2</v>
      </c>
    </row>
    <row r="72" spans="1:26" s="25" customFormat="1" outlineLevel="1" collapsed="1" x14ac:dyDescent="0.25">
      <c r="A72" s="27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SUM(OSRRefD22_12x_0)</f>
        <v>0</v>
      </c>
      <c r="E72" s="1"/>
      <c r="F72" s="5">
        <f t="shared" si="39"/>
        <v>0</v>
      </c>
      <c r="G72" s="1"/>
      <c r="H72" s="1">
        <f>SUM(OSRRefH22_12x_0)</f>
        <v>0</v>
      </c>
      <c r="I72" s="1"/>
      <c r="J72" s="5">
        <f t="shared" si="40"/>
        <v>0</v>
      </c>
      <c r="K72" s="1"/>
      <c r="L72" s="1">
        <f t="shared" si="41"/>
        <v>0</v>
      </c>
      <c r="M72" s="1"/>
      <c r="N72" s="5">
        <f t="shared" si="42"/>
        <v>0</v>
      </c>
      <c r="O72" s="13"/>
      <c r="P72" s="1">
        <f>SUM(OSRRefP22_12x_0)</f>
        <v>0</v>
      </c>
      <c r="Q72" s="1"/>
      <c r="R72" s="5">
        <f t="shared" si="43"/>
        <v>0</v>
      </c>
      <c r="S72" s="1"/>
      <c r="T72" s="1">
        <f>SUM(OSRRefT22_12x_0)</f>
        <v>0</v>
      </c>
      <c r="U72" s="1"/>
      <c r="V72" s="5">
        <f t="shared" si="44"/>
        <v>0</v>
      </c>
      <c r="W72" s="1"/>
      <c r="X72" s="1">
        <f t="shared" si="45"/>
        <v>0</v>
      </c>
      <c r="Y72" s="1"/>
      <c r="Z72" s="5">
        <f t="shared" si="46"/>
        <v>0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7"/>
      <c r="E73" s="2"/>
      <c r="F73" s="6">
        <f t="shared" si="39"/>
        <v>0</v>
      </c>
      <c r="G73" s="2"/>
      <c r="H73" s="7">
        <v>0</v>
      </c>
      <c r="I73" s="2"/>
      <c r="J73" s="6">
        <f t="shared" si="40"/>
        <v>0</v>
      </c>
      <c r="K73" s="2"/>
      <c r="L73" s="7">
        <f t="shared" si="41"/>
        <v>0</v>
      </c>
      <c r="M73" s="2"/>
      <c r="N73" s="6">
        <f t="shared" si="42"/>
        <v>0</v>
      </c>
      <c r="O73" s="11"/>
      <c r="P73" s="7"/>
      <c r="Q73" s="2"/>
      <c r="R73" s="6">
        <f t="shared" si="43"/>
        <v>0</v>
      </c>
      <c r="S73" s="2"/>
      <c r="T73" s="7">
        <v>0</v>
      </c>
      <c r="U73" s="2"/>
      <c r="V73" s="6">
        <f t="shared" si="44"/>
        <v>0</v>
      </c>
      <c r="W73" s="2"/>
      <c r="X73" s="7">
        <f t="shared" si="45"/>
        <v>0</v>
      </c>
      <c r="Y73" s="2"/>
      <c r="Z73" s="6">
        <f t="shared" si="46"/>
        <v>0</v>
      </c>
    </row>
    <row r="74" spans="1:26" s="25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0</v>
      </c>
      <c r="E74" s="1"/>
      <c r="F74" s="5">
        <f t="shared" si="39"/>
        <v>0</v>
      </c>
      <c r="G74" s="1"/>
      <c r="H74" s="1">
        <f>SUM(OSRRefH22_13x_0)</f>
        <v>285</v>
      </c>
      <c r="I74" s="1"/>
      <c r="J74" s="5">
        <f t="shared" si="40"/>
        <v>3.1109122067828803E-3</v>
      </c>
      <c r="K74" s="1"/>
      <c r="L74" s="1">
        <f t="shared" si="41"/>
        <v>-285</v>
      </c>
      <c r="M74" s="1"/>
      <c r="N74" s="5">
        <f t="shared" si="42"/>
        <v>-1</v>
      </c>
      <c r="O74" s="13"/>
      <c r="P74" s="1">
        <f>SUM(OSRRefP22_13x_0)</f>
        <v>2826.3</v>
      </c>
      <c r="Q74" s="1"/>
      <c r="R74" s="5">
        <f t="shared" si="43"/>
        <v>0.98377260766049879</v>
      </c>
      <c r="S74" s="1"/>
      <c r="T74" s="1">
        <f>SUM(OSRRefT22_13x_0)</f>
        <v>3792</v>
      </c>
      <c r="U74" s="1"/>
      <c r="V74" s="5">
        <f t="shared" si="44"/>
        <v>6.8644169047127699E-3</v>
      </c>
      <c r="W74" s="1"/>
      <c r="X74" s="1">
        <f t="shared" si="45"/>
        <v>-965.69999999999982</v>
      </c>
      <c r="Y74" s="1"/>
      <c r="Z74" s="5">
        <f t="shared" si="46"/>
        <v>-0.25466772151898731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39"/>
        <v>0</v>
      </c>
      <c r="G75" s="2"/>
      <c r="H75" s="7"/>
      <c r="I75" s="2"/>
      <c r="J75" s="6">
        <f t="shared" si="40"/>
        <v>0</v>
      </c>
      <c r="K75" s="2"/>
      <c r="L75" s="7">
        <f t="shared" si="41"/>
        <v>0</v>
      </c>
      <c r="M75" s="2"/>
      <c r="N75" s="6">
        <f t="shared" si="42"/>
        <v>0</v>
      </c>
      <c r="O75" s="11"/>
      <c r="P75" s="7"/>
      <c r="Q75" s="2"/>
      <c r="R75" s="6">
        <f t="shared" si="43"/>
        <v>0</v>
      </c>
      <c r="S75" s="2"/>
      <c r="T75" s="7">
        <v>43</v>
      </c>
      <c r="U75" s="2"/>
      <c r="V75" s="6">
        <f t="shared" si="44"/>
        <v>7.7840170596690163E-5</v>
      </c>
      <c r="W75" s="2"/>
      <c r="X75" s="7">
        <f t="shared" si="45"/>
        <v>-43</v>
      </c>
      <c r="Y75" s="2"/>
      <c r="Z75" s="6">
        <f t="shared" si="46"/>
        <v>-1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39"/>
        <v>0</v>
      </c>
      <c r="G76" s="2"/>
      <c r="H76" s="7"/>
      <c r="I76" s="2"/>
      <c r="J76" s="6">
        <f t="shared" si="40"/>
        <v>0</v>
      </c>
      <c r="K76" s="2"/>
      <c r="L76" s="7">
        <f t="shared" si="41"/>
        <v>0</v>
      </c>
      <c r="M76" s="2"/>
      <c r="N76" s="6">
        <f t="shared" si="42"/>
        <v>0</v>
      </c>
      <c r="O76" s="11"/>
      <c r="P76" s="7"/>
      <c r="Q76" s="2"/>
      <c r="R76" s="6">
        <f t="shared" si="43"/>
        <v>0</v>
      </c>
      <c r="S76" s="2"/>
      <c r="T76" s="7">
        <v>437</v>
      </c>
      <c r="U76" s="2"/>
      <c r="V76" s="6">
        <f t="shared" si="44"/>
        <v>7.9107336164543256E-4</v>
      </c>
      <c r="W76" s="2"/>
      <c r="X76" s="7">
        <f t="shared" si="45"/>
        <v>-437</v>
      </c>
      <c r="Y76" s="2"/>
      <c r="Z76" s="6">
        <f t="shared" si="46"/>
        <v>-1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7"/>
      <c r="E77" s="2"/>
      <c r="F77" s="6">
        <f t="shared" si="39"/>
        <v>0</v>
      </c>
      <c r="G77" s="2"/>
      <c r="H77" s="7"/>
      <c r="I77" s="2"/>
      <c r="J77" s="6">
        <f t="shared" si="40"/>
        <v>0</v>
      </c>
      <c r="K77" s="2"/>
      <c r="L77" s="7">
        <f t="shared" si="41"/>
        <v>0</v>
      </c>
      <c r="M77" s="2"/>
      <c r="N77" s="6">
        <f t="shared" si="42"/>
        <v>0</v>
      </c>
      <c r="O77" s="11"/>
      <c r="P77" s="7">
        <v>1258.05</v>
      </c>
      <c r="Q77" s="2"/>
      <c r="R77" s="6">
        <f t="shared" si="43"/>
        <v>0.43789941940603982</v>
      </c>
      <c r="S77" s="2"/>
      <c r="T77" s="7">
        <v>231</v>
      </c>
      <c r="U77" s="2"/>
      <c r="V77" s="6">
        <f t="shared" si="44"/>
        <v>4.1816463739152156E-4</v>
      </c>
      <c r="W77" s="2"/>
      <c r="X77" s="7">
        <f t="shared" si="45"/>
        <v>1027.05</v>
      </c>
      <c r="Y77" s="2"/>
      <c r="Z77" s="6">
        <f t="shared" si="46"/>
        <v>4.4461038961038959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7"/>
      <c r="E78" s="2"/>
      <c r="F78" s="6">
        <f t="shared" si="39"/>
        <v>0</v>
      </c>
      <c r="G78" s="2"/>
      <c r="H78" s="7">
        <v>285</v>
      </c>
      <c r="I78" s="2"/>
      <c r="J78" s="6">
        <f t="shared" si="40"/>
        <v>3.1109122067828803E-3</v>
      </c>
      <c r="K78" s="2"/>
      <c r="L78" s="7">
        <f t="shared" si="41"/>
        <v>-285</v>
      </c>
      <c r="M78" s="2"/>
      <c r="N78" s="6">
        <f t="shared" si="42"/>
        <v>-1</v>
      </c>
      <c r="O78" s="11"/>
      <c r="P78" s="7">
        <v>1568.25</v>
      </c>
      <c r="Q78" s="2"/>
      <c r="R78" s="6">
        <f t="shared" si="43"/>
        <v>0.54587318825445885</v>
      </c>
      <c r="S78" s="2"/>
      <c r="T78" s="7">
        <v>3081</v>
      </c>
      <c r="U78" s="2"/>
      <c r="V78" s="6">
        <f t="shared" si="44"/>
        <v>5.5773387350791254E-3</v>
      </c>
      <c r="W78" s="2"/>
      <c r="X78" s="7">
        <f t="shared" si="45"/>
        <v>-1512.75</v>
      </c>
      <c r="Y78" s="2"/>
      <c r="Z78" s="6">
        <f t="shared" si="46"/>
        <v>-0.49099318403115871</v>
      </c>
    </row>
    <row r="79" spans="1:26" s="25" customFormat="1" outlineLevel="1" collapsed="1" x14ac:dyDescent="0.25">
      <c r="A79" s="27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SUM(OSRRefD22_14x_0)</f>
        <v>0</v>
      </c>
      <c r="E79" s="1"/>
      <c r="F79" s="5">
        <f t="shared" ref="F79:F81" si="47">IF(D$12=0,0,D79/D$12)</f>
        <v>0</v>
      </c>
      <c r="G79" s="1"/>
      <c r="H79" s="1">
        <f>SUM(OSRRefH22_14x_0)</f>
        <v>1551</v>
      </c>
      <c r="I79" s="1"/>
      <c r="J79" s="5">
        <f t="shared" ref="J79:J81" si="48">IF(H$12=0,0,H79/H$12)</f>
        <v>1.6929911693755254E-2</v>
      </c>
      <c r="K79" s="1"/>
      <c r="L79" s="1">
        <f t="shared" ref="L79:L81" si="49">+D79-H79</f>
        <v>-1551</v>
      </c>
      <c r="M79" s="1"/>
      <c r="N79" s="5">
        <f t="shared" ref="N79:N81" si="50">IF(H79=0,0,L79/H79)</f>
        <v>-1</v>
      </c>
      <c r="O79" s="13"/>
      <c r="P79" s="1">
        <f>SUM(OSRRefP22_14x_0)</f>
        <v>185.7</v>
      </c>
      <c r="Q79" s="1"/>
      <c r="R79" s="5">
        <f t="shared" ref="R79:R81" si="51">IF(P$12=0,0,P79/P$12)</f>
        <v>6.4638068585272115E-2</v>
      </c>
      <c r="S79" s="1"/>
      <c r="T79" s="1">
        <f>SUM(OSRRefT22_14x_0)</f>
        <v>9553</v>
      </c>
      <c r="U79" s="1"/>
      <c r="V79" s="5">
        <f t="shared" ref="V79:V81" si="52">IF(T$12=0,0,T79/T$12)</f>
        <v>1.7293189528143748E-2</v>
      </c>
      <c r="W79" s="1"/>
      <c r="X79" s="1">
        <f t="shared" ref="X79:X81" si="53">+P79-T79</f>
        <v>-9367.2999999999993</v>
      </c>
      <c r="Y79" s="1"/>
      <c r="Z79" s="5">
        <f t="shared" ref="Z79:Z81" si="54">IF(T79=0,0,X79/T79)</f>
        <v>-0.98056108028891442</v>
      </c>
    </row>
    <row r="80" spans="1:26" s="24" customFormat="1" hidden="1" outlineLevel="2" x14ac:dyDescent="0.25">
      <c r="A80" s="26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47"/>
        <v>0</v>
      </c>
      <c r="G80" s="2"/>
      <c r="H80" s="7"/>
      <c r="I80" s="2"/>
      <c r="J80" s="6">
        <f t="shared" si="48"/>
        <v>0</v>
      </c>
      <c r="K80" s="2"/>
      <c r="L80" s="7">
        <f t="shared" si="49"/>
        <v>0</v>
      </c>
      <c r="M80" s="2"/>
      <c r="N80" s="6">
        <f t="shared" si="50"/>
        <v>0</v>
      </c>
      <c r="O80" s="11"/>
      <c r="P80" s="7">
        <v>185.7</v>
      </c>
      <c r="Q80" s="2"/>
      <c r="R80" s="6">
        <f t="shared" si="51"/>
        <v>6.4638068585272115E-2</v>
      </c>
      <c r="S80" s="2"/>
      <c r="T80" s="7"/>
      <c r="U80" s="2"/>
      <c r="V80" s="6">
        <f t="shared" si="52"/>
        <v>0</v>
      </c>
      <c r="W80" s="2"/>
      <c r="X80" s="7">
        <f t="shared" si="53"/>
        <v>185.7</v>
      </c>
      <c r="Y80" s="2"/>
      <c r="Z80" s="6">
        <f t="shared" si="54"/>
        <v>0</v>
      </c>
    </row>
    <row r="81" spans="1:26" s="24" customFormat="1" hidden="1" outlineLevel="2" x14ac:dyDescent="0.25">
      <c r="A81" s="26"/>
      <c r="B81" s="11" t="str">
        <f>CONCATENATE("          ", "6259", " - ", "ROYALTY &amp; COMMISSIONS")</f>
        <v xml:space="preserve">          6259 - ROYALTY &amp; COMMISSIONS</v>
      </c>
      <c r="C81" s="11"/>
      <c r="D81" s="7"/>
      <c r="E81" s="2"/>
      <c r="F81" s="6">
        <f t="shared" si="47"/>
        <v>0</v>
      </c>
      <c r="G81" s="2"/>
      <c r="H81" s="7">
        <v>1551</v>
      </c>
      <c r="I81" s="2"/>
      <c r="J81" s="6">
        <f t="shared" si="48"/>
        <v>1.6929911693755254E-2</v>
      </c>
      <c r="K81" s="2"/>
      <c r="L81" s="7">
        <f t="shared" si="49"/>
        <v>-1551</v>
      </c>
      <c r="M81" s="2"/>
      <c r="N81" s="6">
        <f t="shared" si="50"/>
        <v>-1</v>
      </c>
      <c r="O81" s="11"/>
      <c r="P81" s="7"/>
      <c r="Q81" s="2"/>
      <c r="R81" s="6">
        <f t="shared" si="51"/>
        <v>0</v>
      </c>
      <c r="S81" s="2"/>
      <c r="T81" s="7">
        <v>9553</v>
      </c>
      <c r="U81" s="2"/>
      <c r="V81" s="6">
        <f t="shared" si="52"/>
        <v>1.7293189528143748E-2</v>
      </c>
      <c r="W81" s="2"/>
      <c r="X81" s="7">
        <f t="shared" si="53"/>
        <v>-9553</v>
      </c>
      <c r="Y81" s="2"/>
      <c r="Z81" s="6">
        <f t="shared" si="54"/>
        <v>-1</v>
      </c>
    </row>
    <row r="82" spans="1:26" s="25" customFormat="1" outlineLevel="1" collapsed="1" x14ac:dyDescent="0.25">
      <c r="A82" s="27"/>
      <c r="B82" s="13" t="str">
        <f>CONCATENATE("     ","Services                                          ")</f>
        <v xml:space="preserve">     Services                                          </v>
      </c>
      <c r="C82" s="13"/>
      <c r="D82" s="1">
        <f>SUM(OSRRefD22_15x_0)</f>
        <v>440.85</v>
      </c>
      <c r="E82" s="1"/>
      <c r="F82" s="5">
        <f t="shared" ref="F82:F86" si="55">IF(D$12=0,0,D82/D$12)</f>
        <v>8.4942196531791918</v>
      </c>
      <c r="G82" s="1"/>
      <c r="H82" s="1">
        <f>SUM(OSRRefH22_15x_0)</f>
        <v>843</v>
      </c>
      <c r="I82" s="1"/>
      <c r="J82" s="5">
        <f t="shared" ref="J82:J86" si="56">IF(H$12=0,0,H82/H$12)</f>
        <v>9.2017508432209408E-3</v>
      </c>
      <c r="K82" s="1"/>
      <c r="L82" s="1">
        <f t="shared" ref="L82:L86" si="57">+D82-H82</f>
        <v>-402.15</v>
      </c>
      <c r="M82" s="1"/>
      <c r="N82" s="5">
        <f t="shared" ref="N82:N86" si="58">IF(H82=0,0,L82/H82)</f>
        <v>-0.47704626334519568</v>
      </c>
      <c r="O82" s="13"/>
      <c r="P82" s="1">
        <f>SUM(OSRRefP22_15x_0)</f>
        <v>2446.21</v>
      </c>
      <c r="Q82" s="1"/>
      <c r="R82" s="5">
        <f t="shared" ref="R82:R86" si="59">IF(P$12=0,0,P82/P$12)</f>
        <v>0.85147167341937824</v>
      </c>
      <c r="S82" s="1"/>
      <c r="T82" s="1">
        <f>SUM(OSRRefT22_15x_0)</f>
        <v>9551</v>
      </c>
      <c r="U82" s="1"/>
      <c r="V82" s="5">
        <f t="shared" ref="V82:V86" si="60">IF(T$12=0,0,T82/T$12)</f>
        <v>1.7289569055092737E-2</v>
      </c>
      <c r="W82" s="1"/>
      <c r="X82" s="1">
        <f t="shared" ref="X82:X86" si="61">+P82-T82</f>
        <v>-7104.79</v>
      </c>
      <c r="Y82" s="1"/>
      <c r="Z82" s="5">
        <f t="shared" ref="Z82:Z86" si="62">IF(T82=0,0,X82/T82)</f>
        <v>-0.74387917495550204</v>
      </c>
    </row>
    <row r="83" spans="1:26" s="24" customFormat="1" hidden="1" outlineLevel="2" x14ac:dyDescent="0.25">
      <c r="A83" s="26"/>
      <c r="B83" s="11" t="str">
        <f>CONCATENATE("          ", "6282", " - ", "JANITORIAL/EXTERMINATOR EXPENS")</f>
        <v xml:space="preserve">          6282 - JANITORIAL/EXTERMINATOR EXPENS</v>
      </c>
      <c r="C83" s="11"/>
      <c r="D83" s="7">
        <v>151.85</v>
      </c>
      <c r="E83" s="2"/>
      <c r="F83" s="6">
        <f t="shared" si="55"/>
        <v>2.9258188824662814</v>
      </c>
      <c r="G83" s="2"/>
      <c r="H83" s="7"/>
      <c r="I83" s="2"/>
      <c r="J83" s="6">
        <f t="shared" si="56"/>
        <v>0</v>
      </c>
      <c r="K83" s="2"/>
      <c r="L83" s="7">
        <f t="shared" si="57"/>
        <v>151.85</v>
      </c>
      <c r="M83" s="2"/>
      <c r="N83" s="6">
        <f t="shared" si="58"/>
        <v>0</v>
      </c>
      <c r="O83" s="11"/>
      <c r="P83" s="7">
        <v>2086.81</v>
      </c>
      <c r="Q83" s="2"/>
      <c r="R83" s="6">
        <f t="shared" si="59"/>
        <v>0.72637247121395654</v>
      </c>
      <c r="S83" s="2"/>
      <c r="T83" s="7">
        <v>1416</v>
      </c>
      <c r="U83" s="2"/>
      <c r="V83" s="6">
        <f t="shared" si="60"/>
        <v>2.5632949201142619E-3</v>
      </c>
      <c r="W83" s="2"/>
      <c r="X83" s="7">
        <f t="shared" si="61"/>
        <v>670.81</v>
      </c>
      <c r="Y83" s="2"/>
      <c r="Z83" s="6">
        <f t="shared" si="62"/>
        <v>0.47373587570621467</v>
      </c>
    </row>
    <row r="84" spans="1:26" s="24" customFormat="1" hidden="1" outlineLevel="2" x14ac:dyDescent="0.25">
      <c r="A84" s="26"/>
      <c r="B84" s="11" t="str">
        <f>CONCATENATE("          ", "6284", " - ", "TRASH REMOVAL EXPENSE")</f>
        <v xml:space="preserve">          6284 - TRASH REMOVAL EXPENSE</v>
      </c>
      <c r="C84" s="11"/>
      <c r="D84" s="7">
        <v>289</v>
      </c>
      <c r="E84" s="2"/>
      <c r="F84" s="6">
        <f t="shared" si="55"/>
        <v>5.56840077071291</v>
      </c>
      <c r="G84" s="2"/>
      <c r="H84" s="7">
        <v>289</v>
      </c>
      <c r="I84" s="2"/>
      <c r="J84" s="6">
        <f t="shared" si="56"/>
        <v>3.1545741324921135E-3</v>
      </c>
      <c r="K84" s="2"/>
      <c r="L84" s="7">
        <f t="shared" si="57"/>
        <v>0</v>
      </c>
      <c r="M84" s="2"/>
      <c r="N84" s="6">
        <f t="shared" si="58"/>
        <v>0</v>
      </c>
      <c r="O84" s="11"/>
      <c r="P84" s="7">
        <v>1164</v>
      </c>
      <c r="Q84" s="2"/>
      <c r="R84" s="6">
        <f t="shared" si="59"/>
        <v>0.4051626916168915</v>
      </c>
      <c r="S84" s="2"/>
      <c r="T84" s="7">
        <v>2889</v>
      </c>
      <c r="U84" s="2"/>
      <c r="V84" s="6">
        <f t="shared" si="60"/>
        <v>5.2297733221822766E-3</v>
      </c>
      <c r="W84" s="2"/>
      <c r="X84" s="7">
        <f t="shared" si="61"/>
        <v>-1725</v>
      </c>
      <c r="Y84" s="2"/>
      <c r="Z84" s="6">
        <f t="shared" si="62"/>
        <v>-0.59709241952232606</v>
      </c>
    </row>
    <row r="85" spans="1:26" s="24" customFormat="1" hidden="1" outlineLevel="2" x14ac:dyDescent="0.25">
      <c r="A85" s="26"/>
      <c r="B85" s="11" t="str">
        <f>CONCATENATE("          ", "6285", " - ", "JANITORIAL SERVICES")</f>
        <v xml:space="preserve">          6285 - JANITORIAL SERVICES</v>
      </c>
      <c r="C85" s="11"/>
      <c r="D85" s="7"/>
      <c r="E85" s="2"/>
      <c r="F85" s="6">
        <f t="shared" si="55"/>
        <v>0</v>
      </c>
      <c r="G85" s="2"/>
      <c r="H85" s="7">
        <v>450</v>
      </c>
      <c r="I85" s="2"/>
      <c r="J85" s="6">
        <f t="shared" si="56"/>
        <v>4.911966642288758E-3</v>
      </c>
      <c r="K85" s="2"/>
      <c r="L85" s="7">
        <f t="shared" si="57"/>
        <v>-450</v>
      </c>
      <c r="M85" s="2"/>
      <c r="N85" s="6">
        <f t="shared" si="58"/>
        <v>-1</v>
      </c>
      <c r="O85" s="11"/>
      <c r="P85" s="7">
        <v>-804.6</v>
      </c>
      <c r="Q85" s="2"/>
      <c r="R85" s="6">
        <f t="shared" si="59"/>
        <v>-0.28006348941146986</v>
      </c>
      <c r="S85" s="2"/>
      <c r="T85" s="7">
        <v>4213</v>
      </c>
      <c r="U85" s="2"/>
      <c r="V85" s="6">
        <f t="shared" si="60"/>
        <v>7.6265264819501315E-3</v>
      </c>
      <c r="W85" s="2"/>
      <c r="X85" s="7">
        <f t="shared" si="61"/>
        <v>-5017.6000000000004</v>
      </c>
      <c r="Y85" s="2"/>
      <c r="Z85" s="6">
        <f t="shared" si="62"/>
        <v>-1.1909802990742939</v>
      </c>
    </row>
    <row r="86" spans="1:26" s="24" customFormat="1" hidden="1" outlineLevel="2" x14ac:dyDescent="0.25">
      <c r="A86" s="26"/>
      <c r="B86" s="11" t="str">
        <f>CONCATENATE("          ", "6286", " - ", "LAUNDRY EXPENSE")</f>
        <v xml:space="preserve">          6286 - LAUNDRY EXPENSE</v>
      </c>
      <c r="C86" s="11"/>
      <c r="D86" s="7"/>
      <c r="E86" s="2"/>
      <c r="F86" s="6">
        <f t="shared" si="55"/>
        <v>0</v>
      </c>
      <c r="G86" s="2"/>
      <c r="H86" s="7">
        <v>104</v>
      </c>
      <c r="I86" s="2"/>
      <c r="J86" s="6">
        <f t="shared" si="56"/>
        <v>1.1352100684400685E-3</v>
      </c>
      <c r="K86" s="2"/>
      <c r="L86" s="7">
        <f t="shared" si="57"/>
        <v>-104</v>
      </c>
      <c r="M86" s="2"/>
      <c r="N86" s="6">
        <f t="shared" si="58"/>
        <v>-1</v>
      </c>
      <c r="O86" s="11"/>
      <c r="P86" s="7"/>
      <c r="Q86" s="2"/>
      <c r="R86" s="6">
        <f t="shared" si="59"/>
        <v>0</v>
      </c>
      <c r="S86" s="2"/>
      <c r="T86" s="7">
        <v>1033</v>
      </c>
      <c r="U86" s="2"/>
      <c r="V86" s="6">
        <f t="shared" si="60"/>
        <v>1.8699743308460684E-3</v>
      </c>
      <c r="W86" s="2"/>
      <c r="X86" s="7">
        <f t="shared" si="61"/>
        <v>-1033</v>
      </c>
      <c r="Y86" s="2"/>
      <c r="Z86" s="6">
        <f t="shared" si="62"/>
        <v>-1</v>
      </c>
    </row>
    <row r="87" spans="1:26" s="25" customFormat="1" outlineLevel="1" collapsed="1" x14ac:dyDescent="0.25">
      <c r="A87" s="27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SUM(OSRRefD22_16x_0)</f>
        <v>0</v>
      </c>
      <c r="E87" s="1"/>
      <c r="F87" s="5">
        <f t="shared" ref="F87:F96" si="63">IF(D$12=0,0,D87/D$12)</f>
        <v>0</v>
      </c>
      <c r="G87" s="1"/>
      <c r="H87" s="1">
        <f>SUM(OSRRefH22_16x_0)</f>
        <v>176</v>
      </c>
      <c r="I87" s="1"/>
      <c r="J87" s="5">
        <f t="shared" ref="J87:J96" si="64">IF(H$12=0,0,H87/H$12)</f>
        <v>1.9211247312062698E-3</v>
      </c>
      <c r="K87" s="1"/>
      <c r="L87" s="1">
        <f t="shared" ref="L87:L96" si="65">+D87-H87</f>
        <v>-176</v>
      </c>
      <c r="M87" s="1"/>
      <c r="N87" s="5">
        <f t="shared" ref="N87:N96" si="66">IF(H87=0,0,L87/H87)</f>
        <v>-1</v>
      </c>
      <c r="O87" s="13"/>
      <c r="P87" s="1">
        <f>SUM(OSRRefP22_16x_0)</f>
        <v>0</v>
      </c>
      <c r="Q87" s="1"/>
      <c r="R87" s="5">
        <f t="shared" ref="R87:R96" si="67">IF(P$12=0,0,P87/P$12)</f>
        <v>0</v>
      </c>
      <c r="S87" s="1"/>
      <c r="T87" s="1">
        <f>SUM(OSRRefT22_16x_0)</f>
        <v>1760</v>
      </c>
      <c r="U87" s="1"/>
      <c r="V87" s="5">
        <f t="shared" ref="V87:V96" si="68">IF(T$12=0,0,T87/T$12)</f>
        <v>3.1860162848877834E-3</v>
      </c>
      <c r="W87" s="1"/>
      <c r="X87" s="1">
        <f t="shared" ref="X87:X96" si="69">+P87-T87</f>
        <v>-1760</v>
      </c>
      <c r="Y87" s="1"/>
      <c r="Z87" s="5">
        <f t="shared" ref="Z87:Z96" si="70">IF(T87=0,0,X87/T87)</f>
        <v>-1</v>
      </c>
    </row>
    <row r="88" spans="1:26" s="24" customFormat="1" hidden="1" outlineLevel="2" x14ac:dyDescent="0.25">
      <c r="A88" s="26"/>
      <c r="B88" s="11" t="str">
        <f>CONCATENATE("          ", "6275", " - ", "SUBSCRIPTIONS")</f>
        <v xml:space="preserve">          6275 - SUBSCRIPTIONS</v>
      </c>
      <c r="C88" s="11"/>
      <c r="D88" s="7"/>
      <c r="E88" s="2"/>
      <c r="F88" s="6">
        <f t="shared" si="63"/>
        <v>0</v>
      </c>
      <c r="G88" s="2"/>
      <c r="H88" s="7">
        <v>176</v>
      </c>
      <c r="I88" s="2"/>
      <c r="J88" s="6">
        <f t="shared" si="64"/>
        <v>1.9211247312062698E-3</v>
      </c>
      <c r="K88" s="2"/>
      <c r="L88" s="7">
        <f t="shared" si="65"/>
        <v>-176</v>
      </c>
      <c r="M88" s="2"/>
      <c r="N88" s="6">
        <f t="shared" si="66"/>
        <v>-1</v>
      </c>
      <c r="O88" s="11"/>
      <c r="P88" s="7"/>
      <c r="Q88" s="2"/>
      <c r="R88" s="6">
        <f t="shared" si="67"/>
        <v>0</v>
      </c>
      <c r="S88" s="2"/>
      <c r="T88" s="7">
        <v>1760</v>
      </c>
      <c r="U88" s="2"/>
      <c r="V88" s="6">
        <f t="shared" si="68"/>
        <v>3.1860162848877834E-3</v>
      </c>
      <c r="W88" s="2"/>
      <c r="X88" s="7">
        <f t="shared" si="69"/>
        <v>-1760</v>
      </c>
      <c r="Y88" s="2"/>
      <c r="Z88" s="6">
        <f t="shared" si="70"/>
        <v>-1</v>
      </c>
    </row>
    <row r="89" spans="1:26" s="25" customFormat="1" outlineLevel="1" collapsed="1" x14ac:dyDescent="0.25">
      <c r="A89" s="27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SUM(OSRRefD22_17x_0)</f>
        <v>0</v>
      </c>
      <c r="E89" s="1"/>
      <c r="F89" s="5">
        <f t="shared" si="63"/>
        <v>0</v>
      </c>
      <c r="G89" s="1"/>
      <c r="H89" s="1">
        <f>SUM(OSRRefH22_17x_0)</f>
        <v>1729</v>
      </c>
      <c r="I89" s="1"/>
      <c r="J89" s="5">
        <f t="shared" si="64"/>
        <v>1.8872867387816138E-2</v>
      </c>
      <c r="K89" s="1"/>
      <c r="L89" s="1">
        <f t="shared" si="65"/>
        <v>-1729</v>
      </c>
      <c r="M89" s="1"/>
      <c r="N89" s="5">
        <f t="shared" si="66"/>
        <v>-1</v>
      </c>
      <c r="O89" s="13"/>
      <c r="P89" s="1">
        <f>SUM(OSRRefP22_17x_0)</f>
        <v>1094.0899999999999</v>
      </c>
      <c r="Q89" s="1"/>
      <c r="R89" s="5">
        <f t="shared" si="67"/>
        <v>0.3808285646659148</v>
      </c>
      <c r="S89" s="1"/>
      <c r="T89" s="1">
        <f>SUM(OSRRefT22_17x_0)</f>
        <v>22071</v>
      </c>
      <c r="U89" s="1"/>
      <c r="V89" s="5">
        <f t="shared" si="68"/>
        <v>3.9953730354408107E-2</v>
      </c>
      <c r="W89" s="1"/>
      <c r="X89" s="1">
        <f t="shared" si="69"/>
        <v>-20976.91</v>
      </c>
      <c r="Y89" s="1"/>
      <c r="Z89" s="5">
        <f t="shared" si="70"/>
        <v>-0.9504286167368946</v>
      </c>
    </row>
    <row r="90" spans="1:26" s="24" customFormat="1" hidden="1" outlineLevel="2" x14ac:dyDescent="0.25">
      <c r="A90" s="26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63"/>
        <v>0</v>
      </c>
      <c r="G90" s="2"/>
      <c r="H90" s="7"/>
      <c r="I90" s="2"/>
      <c r="J90" s="6">
        <f t="shared" si="64"/>
        <v>0</v>
      </c>
      <c r="K90" s="2"/>
      <c r="L90" s="7">
        <f t="shared" si="65"/>
        <v>0</v>
      </c>
      <c r="M90" s="2"/>
      <c r="N90" s="6">
        <f t="shared" si="66"/>
        <v>0</v>
      </c>
      <c r="O90" s="11"/>
      <c r="P90" s="7">
        <v>316.67</v>
      </c>
      <c r="Q90" s="2"/>
      <c r="R90" s="6">
        <f t="shared" si="67"/>
        <v>0.11022583295044763</v>
      </c>
      <c r="S90" s="2"/>
      <c r="T90" s="7">
        <v>28</v>
      </c>
      <c r="U90" s="2"/>
      <c r="V90" s="6">
        <f t="shared" si="68"/>
        <v>5.0686622714123825E-5</v>
      </c>
      <c r="W90" s="2"/>
      <c r="X90" s="7">
        <f t="shared" si="69"/>
        <v>288.67</v>
      </c>
      <c r="Y90" s="2"/>
      <c r="Z90" s="6">
        <f t="shared" si="70"/>
        <v>10.309642857142858</v>
      </c>
    </row>
    <row r="91" spans="1:26" s="24" customFormat="1" hidden="1" outlineLevel="2" x14ac:dyDescent="0.25">
      <c r="A91" s="26"/>
      <c r="B91" s="11" t="str">
        <f>CONCATENATE("          ", "6235", " - ", "COVID-19 EXPENSES")</f>
        <v xml:space="preserve">          6235 - COVID-19 EXPENSES</v>
      </c>
      <c r="C91" s="11"/>
      <c r="D91" s="7"/>
      <c r="E91" s="2"/>
      <c r="F91" s="6">
        <f t="shared" si="63"/>
        <v>0</v>
      </c>
      <c r="G91" s="2"/>
      <c r="H91" s="7">
        <v>400</v>
      </c>
      <c r="I91" s="2"/>
      <c r="J91" s="6">
        <f t="shared" si="64"/>
        <v>4.3661925709233404E-3</v>
      </c>
      <c r="K91" s="2"/>
      <c r="L91" s="7">
        <f t="shared" si="65"/>
        <v>-400</v>
      </c>
      <c r="M91" s="2"/>
      <c r="N91" s="6">
        <f t="shared" si="66"/>
        <v>-1</v>
      </c>
      <c r="O91" s="11"/>
      <c r="P91" s="7">
        <v>207.27</v>
      </c>
      <c r="Q91" s="2"/>
      <c r="R91" s="6">
        <f t="shared" si="67"/>
        <v>7.2146109185079993E-2</v>
      </c>
      <c r="S91" s="2"/>
      <c r="T91" s="7">
        <v>4500</v>
      </c>
      <c r="U91" s="2"/>
      <c r="V91" s="6">
        <f t="shared" si="68"/>
        <v>8.1460643647699015E-3</v>
      </c>
      <c r="W91" s="2"/>
      <c r="X91" s="7">
        <f t="shared" si="69"/>
        <v>-4292.7299999999996</v>
      </c>
      <c r="Y91" s="2"/>
      <c r="Z91" s="6">
        <f t="shared" si="70"/>
        <v>-0.9539399999999999</v>
      </c>
    </row>
    <row r="92" spans="1:26" s="24" customFormat="1" hidden="1" outlineLevel="2" x14ac:dyDescent="0.25">
      <c r="A92" s="26"/>
      <c r="B92" s="11" t="str">
        <f>CONCATENATE("          ", "6237", " - ", "JANITORIAL SUPPLIES")</f>
        <v xml:space="preserve">          6237 - JANITORIAL SUPPLIES</v>
      </c>
      <c r="C92" s="11"/>
      <c r="D92" s="7"/>
      <c r="E92" s="2"/>
      <c r="F92" s="6">
        <f t="shared" si="63"/>
        <v>0</v>
      </c>
      <c r="G92" s="2"/>
      <c r="H92" s="7">
        <v>502</v>
      </c>
      <c r="I92" s="2"/>
      <c r="J92" s="6">
        <f t="shared" si="64"/>
        <v>5.4795716765087925E-3</v>
      </c>
      <c r="K92" s="2"/>
      <c r="L92" s="7">
        <f t="shared" si="65"/>
        <v>-502</v>
      </c>
      <c r="M92" s="2"/>
      <c r="N92" s="6">
        <f t="shared" si="66"/>
        <v>-1</v>
      </c>
      <c r="O92" s="11"/>
      <c r="P92" s="7">
        <v>317.57</v>
      </c>
      <c r="Q92" s="2"/>
      <c r="R92" s="6">
        <f t="shared" si="67"/>
        <v>0.11053910307283182</v>
      </c>
      <c r="S92" s="2"/>
      <c r="T92" s="7">
        <v>1424</v>
      </c>
      <c r="U92" s="2"/>
      <c r="V92" s="6">
        <f t="shared" si="68"/>
        <v>2.5777768123182976E-3</v>
      </c>
      <c r="W92" s="2"/>
      <c r="X92" s="7">
        <f t="shared" si="69"/>
        <v>-1106.43</v>
      </c>
      <c r="Y92" s="2"/>
      <c r="Z92" s="6">
        <f t="shared" si="70"/>
        <v>-0.77698735955056186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7"/>
      <c r="E93" s="2"/>
      <c r="F93" s="6">
        <f t="shared" si="63"/>
        <v>0</v>
      </c>
      <c r="G93" s="2"/>
      <c r="H93" s="7"/>
      <c r="I93" s="2"/>
      <c r="J93" s="6">
        <f t="shared" si="64"/>
        <v>0</v>
      </c>
      <c r="K93" s="2"/>
      <c r="L93" s="7">
        <f t="shared" si="65"/>
        <v>0</v>
      </c>
      <c r="M93" s="2"/>
      <c r="N93" s="6">
        <f t="shared" si="66"/>
        <v>0</v>
      </c>
      <c r="O93" s="11"/>
      <c r="P93" s="7">
        <v>131.30000000000001</v>
      </c>
      <c r="Q93" s="2"/>
      <c r="R93" s="6">
        <f t="shared" si="67"/>
        <v>4.5702630076716377E-2</v>
      </c>
      <c r="S93" s="2"/>
      <c r="T93" s="7"/>
      <c r="U93" s="2"/>
      <c r="V93" s="6">
        <f t="shared" si="68"/>
        <v>0</v>
      </c>
      <c r="W93" s="2"/>
      <c r="X93" s="7">
        <f t="shared" si="69"/>
        <v>131.30000000000001</v>
      </c>
      <c r="Y93" s="2"/>
      <c r="Z93" s="6">
        <f t="shared" si="70"/>
        <v>0</v>
      </c>
    </row>
    <row r="94" spans="1:26" s="24" customFormat="1" hidden="1" outlineLevel="2" x14ac:dyDescent="0.25">
      <c r="A94" s="26"/>
      <c r="B94" s="11" t="str">
        <f>CONCATENATE("          ", "6243", " - ", "PAPER SUPPLIES")</f>
        <v xml:space="preserve">          6243 - PAPER SUPPLIES</v>
      </c>
      <c r="C94" s="11"/>
      <c r="D94" s="7"/>
      <c r="E94" s="2"/>
      <c r="F94" s="6">
        <f t="shared" si="63"/>
        <v>0</v>
      </c>
      <c r="G94" s="2"/>
      <c r="H94" s="7">
        <v>150</v>
      </c>
      <c r="I94" s="2"/>
      <c r="J94" s="6">
        <f t="shared" si="64"/>
        <v>1.6373222140962527E-3</v>
      </c>
      <c r="K94" s="2"/>
      <c r="L94" s="7">
        <f t="shared" si="65"/>
        <v>-150</v>
      </c>
      <c r="M94" s="2"/>
      <c r="N94" s="6">
        <f t="shared" si="66"/>
        <v>-1</v>
      </c>
      <c r="O94" s="11"/>
      <c r="P94" s="7"/>
      <c r="Q94" s="2"/>
      <c r="R94" s="6">
        <f t="shared" si="67"/>
        <v>0</v>
      </c>
      <c r="S94" s="2"/>
      <c r="T94" s="7">
        <v>1422</v>
      </c>
      <c r="U94" s="2"/>
      <c r="V94" s="6">
        <f t="shared" si="68"/>
        <v>2.5741563392672885E-3</v>
      </c>
      <c r="W94" s="2"/>
      <c r="X94" s="7">
        <f t="shared" si="69"/>
        <v>-1422</v>
      </c>
      <c r="Y94" s="2"/>
      <c r="Z94" s="6">
        <f t="shared" si="70"/>
        <v>-1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63"/>
        <v>0</v>
      </c>
      <c r="G95" s="2"/>
      <c r="H95" s="7">
        <v>677</v>
      </c>
      <c r="I95" s="2"/>
      <c r="J95" s="6">
        <f t="shared" si="64"/>
        <v>7.3897809262877543E-3</v>
      </c>
      <c r="K95" s="2"/>
      <c r="L95" s="7">
        <f t="shared" si="65"/>
        <v>-677</v>
      </c>
      <c r="M95" s="2"/>
      <c r="N95" s="6">
        <f t="shared" si="66"/>
        <v>-1</v>
      </c>
      <c r="O95" s="11"/>
      <c r="P95" s="7">
        <v>121.28</v>
      </c>
      <c r="Q95" s="2"/>
      <c r="R95" s="6">
        <f t="shared" si="67"/>
        <v>4.2214889380839005E-2</v>
      </c>
      <c r="S95" s="2"/>
      <c r="T95" s="7">
        <v>14497</v>
      </c>
      <c r="U95" s="2"/>
      <c r="V95" s="6">
        <f t="shared" si="68"/>
        <v>2.6242998910237611E-2</v>
      </c>
      <c r="W95" s="2"/>
      <c r="X95" s="7">
        <f t="shared" si="69"/>
        <v>-14375.72</v>
      </c>
      <c r="Y95" s="2"/>
      <c r="Z95" s="6">
        <f t="shared" si="70"/>
        <v>-0.99163413119955846</v>
      </c>
    </row>
    <row r="96" spans="1:26" s="24" customFormat="1" hidden="1" outlineLevel="2" x14ac:dyDescent="0.25">
      <c r="A96" s="26"/>
      <c r="B96" s="11" t="str">
        <f>CONCATENATE("          ", "6248", " - ", "UNIFORMS")</f>
        <v xml:space="preserve">          6248 - UNIFORMS</v>
      </c>
      <c r="C96" s="11"/>
      <c r="D96" s="7"/>
      <c r="E96" s="2"/>
      <c r="F96" s="6">
        <f t="shared" si="63"/>
        <v>0</v>
      </c>
      <c r="G96" s="2"/>
      <c r="H96" s="7"/>
      <c r="I96" s="2"/>
      <c r="J96" s="6">
        <f t="shared" si="64"/>
        <v>0</v>
      </c>
      <c r="K96" s="2"/>
      <c r="L96" s="7">
        <f t="shared" si="65"/>
        <v>0</v>
      </c>
      <c r="M96" s="2"/>
      <c r="N96" s="6">
        <f t="shared" si="66"/>
        <v>0</v>
      </c>
      <c r="O96" s="11"/>
      <c r="P96" s="7"/>
      <c r="Q96" s="2"/>
      <c r="R96" s="6">
        <f t="shared" si="67"/>
        <v>0</v>
      </c>
      <c r="S96" s="2"/>
      <c r="T96" s="7">
        <v>200</v>
      </c>
      <c r="U96" s="2"/>
      <c r="V96" s="6">
        <f t="shared" si="68"/>
        <v>3.620473051008845E-4</v>
      </c>
      <c r="W96" s="2"/>
      <c r="X96" s="7">
        <f t="shared" si="69"/>
        <v>-200</v>
      </c>
      <c r="Y96" s="2"/>
      <c r="Z96" s="6">
        <f t="shared" si="70"/>
        <v>-1</v>
      </c>
    </row>
    <row r="97" spans="1:26" s="25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SUM(OSRRefD22_18x_0)</f>
        <v>325.5</v>
      </c>
      <c r="E97" s="1"/>
      <c r="F97" s="5">
        <f t="shared" ref="F97:F99" si="71">IF(D$12=0,0,D97/D$12)</f>
        <v>6.2716763005780347</v>
      </c>
      <c r="G97" s="1"/>
      <c r="H97" s="1">
        <f>SUM(OSRRefH22_18x_0)</f>
        <v>385</v>
      </c>
      <c r="I97" s="1"/>
      <c r="J97" s="5">
        <f t="shared" ref="J97:J99" si="72">IF(H$12=0,0,H97/H$12)</f>
        <v>4.2024603495137156E-3</v>
      </c>
      <c r="K97" s="1"/>
      <c r="L97" s="1">
        <f t="shared" ref="L97:L99" si="73">+D97-H97</f>
        <v>-59.5</v>
      </c>
      <c r="M97" s="1"/>
      <c r="N97" s="5">
        <f t="shared" ref="N97:N99" si="74">IF(H97=0,0,L97/H97)</f>
        <v>-0.15454545454545454</v>
      </c>
      <c r="O97" s="13"/>
      <c r="P97" s="1">
        <f>SUM(OSRRefP22_18x_0)</f>
        <v>3518.39</v>
      </c>
      <c r="Q97" s="1"/>
      <c r="R97" s="5">
        <f t="shared" ref="R97:R99" si="75">IF(P$12=0,0,P97/P$12)</f>
        <v>1.2246738509948065</v>
      </c>
      <c r="S97" s="1"/>
      <c r="T97" s="1">
        <f>SUM(OSRRefT22_18x_0)</f>
        <v>2945</v>
      </c>
      <c r="U97" s="1"/>
      <c r="V97" s="5">
        <f t="shared" ref="V97:V99" si="76">IF(T$12=0,0,T97/T$12)</f>
        <v>5.3311465676105238E-3</v>
      </c>
      <c r="W97" s="1"/>
      <c r="X97" s="1">
        <f t="shared" ref="X97:X99" si="77">+P97-T97</f>
        <v>573.38999999999987</v>
      </c>
      <c r="Y97" s="1"/>
      <c r="Z97" s="5">
        <f t="shared" ref="Z97:Z99" si="78">IF(T97=0,0,X97/T97)</f>
        <v>0.19469949066213918</v>
      </c>
    </row>
    <row r="98" spans="1:26" s="24" customFormat="1" hidden="1" outlineLevel="2" x14ac:dyDescent="0.25">
      <c r="A98" s="26"/>
      <c r="B98" s="11" t="str">
        <f>CONCATENATE("          ", "6303", " - ", "DATA PHONE LINES")</f>
        <v xml:space="preserve">          6303 - DATA PHONE LINES</v>
      </c>
      <c r="C98" s="11"/>
      <c r="D98" s="7"/>
      <c r="E98" s="2"/>
      <c r="F98" s="6">
        <f t="shared" si="71"/>
        <v>0</v>
      </c>
      <c r="G98" s="2"/>
      <c r="H98" s="7">
        <v>235</v>
      </c>
      <c r="I98" s="2"/>
      <c r="J98" s="6">
        <f t="shared" si="72"/>
        <v>2.5651381354174626E-3</v>
      </c>
      <c r="K98" s="2"/>
      <c r="L98" s="7">
        <f t="shared" si="73"/>
        <v>-235</v>
      </c>
      <c r="M98" s="2"/>
      <c r="N98" s="6">
        <f t="shared" si="74"/>
        <v>-1</v>
      </c>
      <c r="O98" s="11"/>
      <c r="P98" s="7"/>
      <c r="Q98" s="2"/>
      <c r="R98" s="6">
        <f t="shared" si="75"/>
        <v>0</v>
      </c>
      <c r="S98" s="2"/>
      <c r="T98" s="7">
        <v>2345</v>
      </c>
      <c r="U98" s="2"/>
      <c r="V98" s="6">
        <f t="shared" si="76"/>
        <v>4.2450046523078702E-3</v>
      </c>
      <c r="W98" s="2"/>
      <c r="X98" s="7">
        <f t="shared" si="77"/>
        <v>-2345</v>
      </c>
      <c r="Y98" s="2"/>
      <c r="Z98" s="6">
        <f t="shared" si="78"/>
        <v>-1</v>
      </c>
    </row>
    <row r="99" spans="1:26" s="24" customFormat="1" hidden="1" outlineLevel="2" x14ac:dyDescent="0.25">
      <c r="A99" s="26"/>
      <c r="B99" s="11" t="str">
        <f>CONCATENATE("          ", "6309", " - ", "TELEPHONE")</f>
        <v xml:space="preserve">          6309 - TELEPHONE</v>
      </c>
      <c r="C99" s="11"/>
      <c r="D99" s="7">
        <v>325.5</v>
      </c>
      <c r="E99" s="2"/>
      <c r="F99" s="6">
        <f t="shared" si="71"/>
        <v>6.2716763005780347</v>
      </c>
      <c r="G99" s="2"/>
      <c r="H99" s="7">
        <v>150</v>
      </c>
      <c r="I99" s="2"/>
      <c r="J99" s="6">
        <f t="shared" si="72"/>
        <v>1.6373222140962527E-3</v>
      </c>
      <c r="K99" s="2"/>
      <c r="L99" s="7">
        <f t="shared" si="73"/>
        <v>175.5</v>
      </c>
      <c r="M99" s="2"/>
      <c r="N99" s="6">
        <f t="shared" si="74"/>
        <v>1.17</v>
      </c>
      <c r="O99" s="11"/>
      <c r="P99" s="7">
        <v>3518.39</v>
      </c>
      <c r="Q99" s="2"/>
      <c r="R99" s="6">
        <f t="shared" si="75"/>
        <v>1.2246738509948065</v>
      </c>
      <c r="S99" s="2"/>
      <c r="T99" s="7">
        <v>600</v>
      </c>
      <c r="U99" s="2"/>
      <c r="V99" s="6">
        <f t="shared" si="76"/>
        <v>1.0861419153026534E-3</v>
      </c>
      <c r="W99" s="2"/>
      <c r="X99" s="7">
        <f t="shared" si="77"/>
        <v>2918.39</v>
      </c>
      <c r="Y99" s="2"/>
      <c r="Z99" s="6">
        <f t="shared" si="78"/>
        <v>4.8639833333333335</v>
      </c>
    </row>
    <row r="100" spans="1:26" s="25" customFormat="1" outlineLevel="1" collapsed="1" x14ac:dyDescent="0.25">
      <c r="A100" s="27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SUM(OSRRefD22_19x_0)</f>
        <v>0</v>
      </c>
      <c r="E100" s="1"/>
      <c r="F100" s="5">
        <f t="shared" ref="F100:F105" si="79">IF(D$12=0,0,D100/D$12)</f>
        <v>0</v>
      </c>
      <c r="G100" s="1"/>
      <c r="H100" s="1">
        <f>SUM(OSRRefH22_19x_0)</f>
        <v>0</v>
      </c>
      <c r="I100" s="1"/>
      <c r="J100" s="5">
        <f t="shared" ref="J100:J105" si="80">IF(H$12=0,0,H100/H$12)</f>
        <v>0</v>
      </c>
      <c r="K100" s="1"/>
      <c r="L100" s="1">
        <f t="shared" ref="L100:L105" si="81">+D100-H100</f>
        <v>0</v>
      </c>
      <c r="M100" s="1"/>
      <c r="N100" s="5">
        <f t="shared" ref="N100:N105" si="82">IF(H100=0,0,L100/H100)</f>
        <v>0</v>
      </c>
      <c r="O100" s="13"/>
      <c r="P100" s="1">
        <f>SUM(OSRRefP22_19x_0)</f>
        <v>0</v>
      </c>
      <c r="Q100" s="1"/>
      <c r="R100" s="5">
        <f t="shared" ref="R100:R105" si="83">IF(P$12=0,0,P100/P$12)</f>
        <v>0</v>
      </c>
      <c r="S100" s="1"/>
      <c r="T100" s="1">
        <f>SUM(OSRRefT22_19x_0)</f>
        <v>240</v>
      </c>
      <c r="U100" s="1"/>
      <c r="V100" s="5">
        <f t="shared" ref="V100:V105" si="84">IF(T$12=0,0,T100/T$12)</f>
        <v>4.344567661210614E-4</v>
      </c>
      <c r="W100" s="1"/>
      <c r="X100" s="1">
        <f t="shared" ref="X100:X105" si="85">+P100-T100</f>
        <v>-240</v>
      </c>
      <c r="Y100" s="1"/>
      <c r="Z100" s="5">
        <f t="shared" ref="Z100:Z105" si="86">IF(T100=0,0,X100/T100)</f>
        <v>-1</v>
      </c>
    </row>
    <row r="101" spans="1:26" s="24" customFormat="1" hidden="1" outlineLevel="2" x14ac:dyDescent="0.25">
      <c r="A101" s="26"/>
      <c r="B101" s="11" t="str">
        <f>CONCATENATE("          ", "6376", " - ", "TRAINING")</f>
        <v xml:space="preserve">          6376 - TRAINING</v>
      </c>
      <c r="C101" s="11"/>
      <c r="D101" s="7"/>
      <c r="E101" s="2"/>
      <c r="F101" s="6">
        <f t="shared" si="79"/>
        <v>0</v>
      </c>
      <c r="G101" s="2"/>
      <c r="H101" s="7"/>
      <c r="I101" s="2"/>
      <c r="J101" s="6">
        <f t="shared" si="80"/>
        <v>0</v>
      </c>
      <c r="K101" s="2"/>
      <c r="L101" s="7">
        <f t="shared" si="81"/>
        <v>0</v>
      </c>
      <c r="M101" s="2"/>
      <c r="N101" s="6">
        <f t="shared" si="82"/>
        <v>0</v>
      </c>
      <c r="O101" s="11"/>
      <c r="P101" s="7"/>
      <c r="Q101" s="2"/>
      <c r="R101" s="6">
        <f t="shared" si="83"/>
        <v>0</v>
      </c>
      <c r="S101" s="2"/>
      <c r="T101" s="7">
        <v>240</v>
      </c>
      <c r="U101" s="2"/>
      <c r="V101" s="6">
        <f t="shared" si="84"/>
        <v>4.344567661210614E-4</v>
      </c>
      <c r="W101" s="2"/>
      <c r="X101" s="7">
        <f t="shared" si="85"/>
        <v>-240</v>
      </c>
      <c r="Y101" s="2"/>
      <c r="Z101" s="6">
        <f t="shared" si="86"/>
        <v>-1</v>
      </c>
    </row>
    <row r="102" spans="1:26" s="25" customFormat="1" outlineLevel="1" collapsed="1" x14ac:dyDescent="0.25">
      <c r="A102" s="27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SUM(OSRRefD22_20x_0)</f>
        <v>0</v>
      </c>
      <c r="E102" s="1"/>
      <c r="F102" s="5">
        <f t="shared" si="79"/>
        <v>0</v>
      </c>
      <c r="G102" s="1"/>
      <c r="H102" s="1">
        <f>SUM(OSRRefH22_20x_0)</f>
        <v>0</v>
      </c>
      <c r="I102" s="1"/>
      <c r="J102" s="5">
        <f t="shared" si="80"/>
        <v>0</v>
      </c>
      <c r="K102" s="1"/>
      <c r="L102" s="1">
        <f t="shared" si="81"/>
        <v>0</v>
      </c>
      <c r="M102" s="1"/>
      <c r="N102" s="5">
        <f t="shared" si="82"/>
        <v>0</v>
      </c>
      <c r="O102" s="13"/>
      <c r="P102" s="1">
        <f>SUM(OSRRefP22_20x_0)</f>
        <v>0</v>
      </c>
      <c r="Q102" s="1"/>
      <c r="R102" s="5">
        <f t="shared" si="83"/>
        <v>0</v>
      </c>
      <c r="S102" s="1"/>
      <c r="T102" s="1">
        <f>SUM(OSRRefT22_20x_0)</f>
        <v>1500</v>
      </c>
      <c r="U102" s="1"/>
      <c r="V102" s="5">
        <f t="shared" si="84"/>
        <v>2.7153547882566337E-3</v>
      </c>
      <c r="W102" s="1"/>
      <c r="X102" s="1">
        <f t="shared" si="85"/>
        <v>-1500</v>
      </c>
      <c r="Y102" s="1"/>
      <c r="Z102" s="5">
        <f t="shared" si="86"/>
        <v>-1</v>
      </c>
    </row>
    <row r="103" spans="1:26" s="24" customFormat="1" hidden="1" outlineLevel="2" x14ac:dyDescent="0.25">
      <c r="A103" s="26"/>
      <c r="B103" s="11" t="str">
        <f>CONCATENATE("          ", "6292", " - ", "TRAVEL/CONFERENCE")</f>
        <v xml:space="preserve">          6292 - TRAVEL/CONFERENCE</v>
      </c>
      <c r="C103" s="11"/>
      <c r="D103" s="7"/>
      <c r="E103" s="2"/>
      <c r="F103" s="6">
        <f t="shared" si="79"/>
        <v>0</v>
      </c>
      <c r="G103" s="2"/>
      <c r="H103" s="7"/>
      <c r="I103" s="2"/>
      <c r="J103" s="6">
        <f t="shared" si="80"/>
        <v>0</v>
      </c>
      <c r="K103" s="2"/>
      <c r="L103" s="7">
        <f t="shared" si="81"/>
        <v>0</v>
      </c>
      <c r="M103" s="2"/>
      <c r="N103" s="6">
        <f t="shared" si="82"/>
        <v>0</v>
      </c>
      <c r="O103" s="11"/>
      <c r="P103" s="7"/>
      <c r="Q103" s="2"/>
      <c r="R103" s="6">
        <f t="shared" si="83"/>
        <v>0</v>
      </c>
      <c r="S103" s="2"/>
      <c r="T103" s="7">
        <v>1500</v>
      </c>
      <c r="U103" s="2"/>
      <c r="V103" s="6">
        <f t="shared" si="84"/>
        <v>2.7153547882566337E-3</v>
      </c>
      <c r="W103" s="2"/>
      <c r="X103" s="7">
        <f t="shared" si="85"/>
        <v>-1500</v>
      </c>
      <c r="Y103" s="2"/>
      <c r="Z103" s="6">
        <f t="shared" si="86"/>
        <v>-1</v>
      </c>
    </row>
    <row r="104" spans="1:26" s="25" customFormat="1" outlineLevel="1" collapsed="1" x14ac:dyDescent="0.25">
      <c r="A104" s="27"/>
      <c r="B104" s="13" t="str">
        <f>CONCATENATE("     ","Utilities                                         ")</f>
        <v xml:space="preserve">     Utilities                                         </v>
      </c>
      <c r="C104" s="13"/>
      <c r="D104" s="1">
        <f>SUM(OSRRefD22_21x_0)</f>
        <v>1136</v>
      </c>
      <c r="E104" s="1"/>
      <c r="F104" s="5">
        <f t="shared" si="79"/>
        <v>21.888246628131022</v>
      </c>
      <c r="G104" s="1"/>
      <c r="H104" s="1">
        <f>SUM(OSRRefH22_21x_0)</f>
        <v>850</v>
      </c>
      <c r="I104" s="1"/>
      <c r="J104" s="5">
        <f t="shared" si="80"/>
        <v>9.2781592132120984E-3</v>
      </c>
      <c r="K104" s="1"/>
      <c r="L104" s="1">
        <f t="shared" si="81"/>
        <v>286</v>
      </c>
      <c r="M104" s="1"/>
      <c r="N104" s="5">
        <f t="shared" si="82"/>
        <v>0.33647058823529413</v>
      </c>
      <c r="O104" s="13"/>
      <c r="P104" s="1">
        <f>SUM(OSRRefP22_21x_0)</f>
        <v>5784</v>
      </c>
      <c r="Q104" s="1"/>
      <c r="R104" s="5">
        <f t="shared" si="83"/>
        <v>2.0132826531890897</v>
      </c>
      <c r="S104" s="1"/>
      <c r="T104" s="1">
        <f>SUM(OSRRefT22_21x_0)</f>
        <v>8794</v>
      </c>
      <c r="U104" s="1"/>
      <c r="V104" s="5">
        <f t="shared" si="84"/>
        <v>1.5919220005285891E-2</v>
      </c>
      <c r="W104" s="1"/>
      <c r="X104" s="1">
        <f t="shared" si="85"/>
        <v>-3010</v>
      </c>
      <c r="Y104" s="1"/>
      <c r="Z104" s="5">
        <f t="shared" si="86"/>
        <v>-0.34227882647259494</v>
      </c>
    </row>
    <row r="105" spans="1:26" s="24" customFormat="1" hidden="1" outlineLevel="2" x14ac:dyDescent="0.25">
      <c r="A105" s="26"/>
      <c r="B105" s="11" t="str">
        <f>CONCATENATE("          ", "6274", " - ", "UTILITIES")</f>
        <v xml:space="preserve">          6274 - UTILITIES</v>
      </c>
      <c r="C105" s="11"/>
      <c r="D105" s="7">
        <v>1136</v>
      </c>
      <c r="E105" s="2"/>
      <c r="F105" s="6">
        <f t="shared" si="79"/>
        <v>21.888246628131022</v>
      </c>
      <c r="G105" s="2"/>
      <c r="H105" s="7">
        <v>850</v>
      </c>
      <c r="I105" s="2"/>
      <c r="J105" s="6">
        <f t="shared" si="80"/>
        <v>9.2781592132120984E-3</v>
      </c>
      <c r="K105" s="2"/>
      <c r="L105" s="7">
        <f t="shared" si="81"/>
        <v>286</v>
      </c>
      <c r="M105" s="2"/>
      <c r="N105" s="6">
        <f t="shared" si="82"/>
        <v>0.33647058823529413</v>
      </c>
      <c r="O105" s="11"/>
      <c r="P105" s="7">
        <v>5784</v>
      </c>
      <c r="Q105" s="2"/>
      <c r="R105" s="6">
        <f t="shared" si="83"/>
        <v>2.0132826531890897</v>
      </c>
      <c r="S105" s="2"/>
      <c r="T105" s="7">
        <v>8794</v>
      </c>
      <c r="U105" s="2"/>
      <c r="V105" s="6">
        <f t="shared" si="84"/>
        <v>1.5919220005285891E-2</v>
      </c>
      <c r="W105" s="2"/>
      <c r="X105" s="7">
        <f t="shared" si="85"/>
        <v>-3010</v>
      </c>
      <c r="Y105" s="2"/>
      <c r="Z105" s="6">
        <f t="shared" si="86"/>
        <v>-0.34227882647259494</v>
      </c>
    </row>
    <row r="106" spans="1:26" s="61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9" t="s">
        <v>293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277</v>
      </c>
      <c r="C109" s="28"/>
      <c r="D109" s="21">
        <f>+D27-D29+D107</f>
        <v>-15722.780000000002</v>
      </c>
      <c r="E109" s="14"/>
      <c r="F109" s="20">
        <f>IF(D$12=0,0,D109/D$12)</f>
        <v>-302.94373795761084</v>
      </c>
      <c r="G109" s="14"/>
      <c r="H109" s="21">
        <f>+H27-H29+H107</f>
        <v>-24757.689024499996</v>
      </c>
      <c r="I109" s="14"/>
      <c r="J109" s="20">
        <f>IF(H$12=0,0,H109/H$12)</f>
        <v>-0.27024209473000554</v>
      </c>
      <c r="K109" s="16"/>
      <c r="L109" s="21">
        <f>+D109-H109</f>
        <v>9034.9090244999934</v>
      </c>
      <c r="M109" s="16"/>
      <c r="N109" s="20">
        <f>IF(H109=0,0,L109/H109)</f>
        <v>-0.36493345625107115</v>
      </c>
      <c r="O109" s="29"/>
      <c r="P109" s="21">
        <f>+P27-P29+P107</f>
        <v>-258652.01999999996</v>
      </c>
      <c r="Q109" s="14"/>
      <c r="R109" s="20">
        <f>IF(P$12=0,0,P109/P$12)</f>
        <v>-90.031055511465667</v>
      </c>
      <c r="S109" s="14"/>
      <c r="T109" s="21">
        <f>+T27-T29+T107</f>
        <v>-273155.03243750008</v>
      </c>
      <c r="U109" s="14"/>
      <c r="V109" s="20">
        <f>IF(T$12=0,0,T109/T$12)</f>
        <v>-0.49447521684370793</v>
      </c>
      <c r="W109" s="16"/>
      <c r="X109" s="21">
        <f>+P109-T109</f>
        <v>14503.012437500118</v>
      </c>
      <c r="Y109" s="16"/>
      <c r="Z109" s="20">
        <f>IF(T109=0,0,X109/T109)</f>
        <v>-5.3094436181835736E-2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19.64</v>
      </c>
      <c r="E111" s="4"/>
      <c r="F111" s="12">
        <f>IF(D$12=0,0,D111/D$12)</f>
        <v>0.37842003853564549</v>
      </c>
      <c r="G111" s="4"/>
      <c r="H111" s="4">
        <v>18579</v>
      </c>
      <c r="I111" s="4"/>
      <c r="J111" s="12">
        <f>IF(H$12=0,0,H111/H$12)</f>
        <v>0.20279872943796187</v>
      </c>
      <c r="K111" s="4"/>
      <c r="L111" s="4">
        <f>+D111-H111</f>
        <v>-18559.36</v>
      </c>
      <c r="M111" s="4"/>
      <c r="N111" s="12">
        <f>IF(H111=0,0,L111/H111)</f>
        <v>-0.99894289251305235</v>
      </c>
      <c r="O111" s="10"/>
      <c r="P111" s="4">
        <v>601.03</v>
      </c>
      <c r="Q111" s="4"/>
      <c r="R111" s="12">
        <f>IF(P$12=0,0,P111/P$12)</f>
        <v>0.20920526850730267</v>
      </c>
      <c r="S111" s="4"/>
      <c r="T111" s="4">
        <v>100066</v>
      </c>
      <c r="U111" s="4"/>
      <c r="V111" s="12">
        <f>IF(T$12=0,0,T111/T$12)</f>
        <v>0.18114312816112554</v>
      </c>
      <c r="W111" s="4"/>
      <c r="X111" s="4">
        <f>+P111-T111</f>
        <v>-99464.97</v>
      </c>
      <c r="Y111" s="4"/>
      <c r="Z111" s="12">
        <f>IF(T111=0,0,X111/T111)</f>
        <v>-0.99399366418164015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126</v>
      </c>
      <c r="C113" s="28"/>
      <c r="D113" s="31">
        <f>+D109-D111</f>
        <v>-15742.420000000002</v>
      </c>
      <c r="E113" s="14"/>
      <c r="F113" s="33">
        <f>IF(D$12=0,0,D113/D$12)</f>
        <v>-303.32215799614647</v>
      </c>
      <c r="G113" s="14"/>
      <c r="H113" s="31">
        <f>+H109-H111</f>
        <v>-43336.689024499996</v>
      </c>
      <c r="I113" s="14"/>
      <c r="J113" s="33">
        <f>IF(H$12=0,0,H113/H$12)</f>
        <v>-0.47304082416796739</v>
      </c>
      <c r="K113" s="16"/>
      <c r="L113" s="31">
        <f>D113-H113</f>
        <v>27594.269024499994</v>
      </c>
      <c r="M113" s="16"/>
      <c r="N113" s="33">
        <f>IF(H113=0,0,L113/H113)</f>
        <v>-0.63674151499898457</v>
      </c>
      <c r="O113" s="29"/>
      <c r="P113" s="31">
        <f>+P109-P111</f>
        <v>-259253.04999999996</v>
      </c>
      <c r="Q113" s="14"/>
      <c r="R113" s="33">
        <f>IF(P$12=0,0,P113/P$12)</f>
        <v>-90.240260779972971</v>
      </c>
      <c r="S113" s="14"/>
      <c r="T113" s="31">
        <f>+T109-T111</f>
        <v>-373221.03243750008</v>
      </c>
      <c r="U113" s="14"/>
      <c r="V113" s="33">
        <f>IF(T$12=0,0,T113/T$12)</f>
        <v>-0.67561834500483342</v>
      </c>
      <c r="W113" s="16"/>
      <c r="X113" s="31">
        <f>P113-T113</f>
        <v>113967.98243750012</v>
      </c>
      <c r="Y113" s="16"/>
      <c r="Z113" s="33">
        <f>IF(T113=0,0,X113/T113)</f>
        <v>-0.30536323661391002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294</v>
      </c>
      <c r="C116" s="28"/>
      <c r="D116" s="34">
        <f>SUM(D113:D115)</f>
        <v>-15742.420000000002</v>
      </c>
      <c r="E116" s="14"/>
      <c r="F116" s="35">
        <f>IF(D$12=0,0,D116/D$12)</f>
        <v>-303.32215799614647</v>
      </c>
      <c r="G116" s="14"/>
      <c r="H116" s="34">
        <f>SUM(H113:H115)</f>
        <v>-43336.689024499996</v>
      </c>
      <c r="I116" s="14"/>
      <c r="J116" s="35">
        <f>IF(H$12=0,0,H116/H$12)</f>
        <v>-0.47304082416796739</v>
      </c>
      <c r="K116" s="16"/>
      <c r="L116" s="34">
        <f>+D116-H116</f>
        <v>27594.269024499994</v>
      </c>
      <c r="M116" s="16"/>
      <c r="N116" s="35">
        <f>IF(H116=0,0,L116/H116)</f>
        <v>-0.63674151499898457</v>
      </c>
      <c r="O116" s="29"/>
      <c r="P116" s="34">
        <f>SUM(P113:P115)</f>
        <v>-259253.04999999996</v>
      </c>
      <c r="Q116" s="14"/>
      <c r="R116" s="35">
        <f>IF(P$12=0,0,P116/P$12)</f>
        <v>-90.240260779972971</v>
      </c>
      <c r="S116" s="14"/>
      <c r="T116" s="34">
        <f>SUM(T113:T115)</f>
        <v>-373221.03243750008</v>
      </c>
      <c r="U116" s="14"/>
      <c r="V116" s="35">
        <f>IF(T$12=0,0,T116/T$12)</f>
        <v>-0.67561834500483342</v>
      </c>
      <c r="W116" s="16"/>
      <c r="X116" s="34">
        <f>+P116-T116</f>
        <v>113967.98243750012</v>
      </c>
      <c r="Y116" s="16"/>
      <c r="Z116" s="35">
        <f>IF(T116=0,0,X116/T116)</f>
        <v>-0.30536323661391002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62">
        <v>44330.005793784723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6" t="s">
        <v>56</v>
      </c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5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</v>
      </c>
      <c r="U13" s="2"/>
      <c r="V13" s="19"/>
      <c r="W13" s="2"/>
      <c r="X13" s="2">
        <f t="shared" si="2"/>
        <v>-2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>
        <f>D12-D15</f>
        <v>0</v>
      </c>
      <c r="E18" s="14"/>
      <c r="F18" s="20">
        <f>IF(D$12=0,0,D18/D$12)</f>
        <v>0</v>
      </c>
      <c r="G18" s="14"/>
      <c r="H18" s="21">
        <f>H12-H15</f>
        <v>0</v>
      </c>
      <c r="I18" s="14"/>
      <c r="J18" s="20">
        <f>IF(H$12=0,0,H18/H$12)</f>
        <v>0</v>
      </c>
      <c r="K18" s="16"/>
      <c r="L18" s="21">
        <f>+D18-H18</f>
        <v>0</v>
      </c>
      <c r="M18" s="16"/>
      <c r="N18" s="20">
        <f>IF(H18=0,0,L18/H18)</f>
        <v>0</v>
      </c>
      <c r="O18" s="29"/>
      <c r="P18" s="21">
        <f>P12-P15</f>
        <v>0</v>
      </c>
      <c r="Q18" s="14"/>
      <c r="R18" s="20">
        <f>IF(P$12=0,0,P18/P$12)</f>
        <v>0</v>
      </c>
      <c r="S18" s="14"/>
      <c r="T18" s="21">
        <f>T12-T15</f>
        <v>2</v>
      </c>
      <c r="U18" s="14"/>
      <c r="V18" s="20">
        <f>IF(T$12=0,0,T18/T$12)</f>
        <v>1</v>
      </c>
      <c r="W18" s="16"/>
      <c r="X18" s="21">
        <f>+P18-T18</f>
        <v>-2</v>
      </c>
      <c r="Y18" s="16"/>
      <c r="Z18" s="20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>
        <f>SUM(OSRRefD22x_0)</f>
        <v>770.02</v>
      </c>
      <c r="E20" s="22"/>
      <c r="F20" s="32">
        <f t="shared" ref="F20:F29" si="12">IF(D$12=0,0,D20/D$12)</f>
        <v>0</v>
      </c>
      <c r="G20" s="22"/>
      <c r="H20" s="22">
        <f>SUM(OSRRefH22x_0)</f>
        <v>0</v>
      </c>
      <c r="I20" s="22"/>
      <c r="J20" s="32">
        <f t="shared" ref="J20:J29" si="13">IF(H$12=0,0,H20/H$12)</f>
        <v>0</v>
      </c>
      <c r="K20" s="4"/>
      <c r="L20" s="22">
        <f t="shared" ref="L20:L29" si="14">+D20-H20</f>
        <v>770.02</v>
      </c>
      <c r="M20" s="4"/>
      <c r="N20" s="32">
        <f t="shared" ref="N20:N29" si="15">IF(H20=0,0,L20/H20)</f>
        <v>0</v>
      </c>
      <c r="O20" s="10"/>
      <c r="P20" s="22">
        <f>SUM(OSRRefP22x_0)</f>
        <v>9491.3799999999992</v>
      </c>
      <c r="Q20" s="22"/>
      <c r="R20" s="32">
        <f t="shared" ref="R20:R29" si="16">IF(P$12=0,0,P20/P$12)</f>
        <v>0</v>
      </c>
      <c r="S20" s="22"/>
      <c r="T20" s="22">
        <f>SUM(OSRRefT22x_0)</f>
        <v>0</v>
      </c>
      <c r="U20" s="22"/>
      <c r="V20" s="32">
        <f t="shared" ref="V20:V29" si="17">IF(T$12=0,0,T20/T$12)</f>
        <v>0</v>
      </c>
      <c r="W20" s="4"/>
      <c r="X20" s="22">
        <f t="shared" ref="X20:X29" si="18">+P20-T20</f>
        <v>9491.3799999999992</v>
      </c>
      <c r="Y20" s="4"/>
      <c r="Z20" s="32">
        <f t="shared" ref="Z20:Z29" si="19">IF(T20=0,0,X20/T20)</f>
        <v>0</v>
      </c>
    </row>
    <row r="21" spans="1:26" s="25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3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3"/>
      <c r="P45" s="1">
        <f>SUM(OSRRefP22_4x_0)</f>
        <v>5617.48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5617.48</v>
      </c>
      <c r="Y45" s="1"/>
      <c r="Z45" s="5">
        <f t="shared" si="35"/>
        <v>0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5617.48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5617.48</v>
      </c>
      <c r="Y46" s="2"/>
      <c r="Z46" s="6">
        <f t="shared" si="35"/>
        <v>0</v>
      </c>
    </row>
    <row r="47" spans="1:26" s="25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SUM(OSRRefP22_5x_0)</f>
        <v>12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12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12</v>
      </c>
      <c r="Y48" s="2"/>
      <c r="Z48" s="6">
        <f t="shared" si="35"/>
        <v>0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575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575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575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575</v>
      </c>
      <c r="Y50" s="2"/>
      <c r="Z50" s="6">
        <f t="shared" si="35"/>
        <v>0</v>
      </c>
    </row>
    <row r="51" spans="1:26" s="25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1280.28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1280.28</v>
      </c>
      <c r="Y51" s="1"/>
      <c r="Z51" s="5">
        <f t="shared" si="35"/>
        <v>0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262.58999999999997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262.58999999999997</v>
      </c>
      <c r="Y52" s="2"/>
      <c r="Z52" s="6">
        <f t="shared" si="35"/>
        <v>0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1017.69</v>
      </c>
      <c r="Q53" s="2"/>
      <c r="R53" s="6">
        <f t="shared" si="32"/>
        <v>0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1017.69</v>
      </c>
      <c r="Y53" s="2"/>
      <c r="Z53" s="6">
        <f t="shared" si="35"/>
        <v>0</v>
      </c>
    </row>
    <row r="54" spans="1:26" s="25" customFormat="1" outlineLevel="1" collapsed="1" x14ac:dyDescent="0.25">
      <c r="A54" s="27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SUM(OSRRefD22_8x_0)</f>
        <v>151.85</v>
      </c>
      <c r="E54" s="1"/>
      <c r="F54" s="5">
        <f t="shared" ref="F54:F56" si="36">IF(D$12=0,0,D54/D$12)</f>
        <v>0</v>
      </c>
      <c r="G54" s="1"/>
      <c r="H54" s="1">
        <f>SUM(OSRRefH22_8x_0)</f>
        <v>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151.85</v>
      </c>
      <c r="M54" s="1"/>
      <c r="N54" s="5">
        <f t="shared" ref="N54:N56" si="39">IF(H54=0,0,L54/H54)</f>
        <v>0</v>
      </c>
      <c r="O54" s="13"/>
      <c r="P54" s="1">
        <f>SUM(OSRRefP22_8x_0)</f>
        <v>1612.3</v>
      </c>
      <c r="Q54" s="1"/>
      <c r="R54" s="5">
        <f t="shared" ref="R54:R56" si="40">IF(P$12=0,0,P54/P$12)</f>
        <v>0</v>
      </c>
      <c r="S54" s="1"/>
      <c r="T54" s="1">
        <f>SUM(OSRRefT22_8x_0)</f>
        <v>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1612.3</v>
      </c>
      <c r="Y54" s="1"/>
      <c r="Z54" s="5">
        <f t="shared" ref="Z54:Z56" si="43">IF(T54=0,0,X54/T54)</f>
        <v>0</v>
      </c>
    </row>
    <row r="55" spans="1:26" s="24" customFormat="1" hidden="1" outlineLevel="2" x14ac:dyDescent="0.25">
      <c r="A55" s="26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151.85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151.85</v>
      </c>
      <c r="M55" s="2"/>
      <c r="N55" s="6">
        <f t="shared" si="39"/>
        <v>0</v>
      </c>
      <c r="O55" s="11"/>
      <c r="P55" s="7">
        <v>1785.34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1785.34</v>
      </c>
      <c r="Y55" s="2"/>
      <c r="Z55" s="6">
        <f t="shared" si="43"/>
        <v>0</v>
      </c>
    </row>
    <row r="56" spans="1:26" s="24" customFormat="1" hidden="1" outlineLevel="2" x14ac:dyDescent="0.25">
      <c r="A56" s="26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-173.04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-173.04</v>
      </c>
      <c r="Y56" s="2"/>
      <c r="Z56" s="6">
        <f t="shared" si="43"/>
        <v>0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SUM(OSRRefD22_9x_0)</f>
        <v>0</v>
      </c>
      <c r="E57" s="1"/>
      <c r="F57" s="5">
        <f t="shared" ref="F57:F60" si="44">IF(D$12=0,0,D57/D$12)</f>
        <v>0</v>
      </c>
      <c r="G57" s="1"/>
      <c r="H57" s="1">
        <f>SUM(OSRRefH22_9x_0)</f>
        <v>0</v>
      </c>
      <c r="I57" s="1"/>
      <c r="J57" s="5">
        <f t="shared" ref="J57:J60" si="45">IF(H$12=0,0,H57/H$12)</f>
        <v>0</v>
      </c>
      <c r="K57" s="1"/>
      <c r="L57" s="1">
        <f t="shared" ref="L57:L60" si="46">+D57-H57</f>
        <v>0</v>
      </c>
      <c r="M57" s="1"/>
      <c r="N57" s="5">
        <f t="shared" ref="N57:N60" si="47">IF(H57=0,0,L57/H57)</f>
        <v>0</v>
      </c>
      <c r="O57" s="13"/>
      <c r="P57" s="1">
        <f>SUM(OSRRefP22_9x_0)</f>
        <v>0</v>
      </c>
      <c r="Q57" s="1"/>
      <c r="R57" s="5">
        <f t="shared" ref="R57:R60" si="48">IF(P$12=0,0,P57/P$12)</f>
        <v>0</v>
      </c>
      <c r="S57" s="1"/>
      <c r="T57" s="1">
        <f>SUM(OSRRefT22_9x_0)</f>
        <v>0</v>
      </c>
      <c r="U57" s="1"/>
      <c r="V57" s="5">
        <f t="shared" ref="V57:V60" si="49">IF(T$12=0,0,T57/T$12)</f>
        <v>0</v>
      </c>
      <c r="W57" s="1"/>
      <c r="X57" s="1">
        <f t="shared" ref="X57:X60" si="50">+P57-T57</f>
        <v>0</v>
      </c>
      <c r="Y57" s="1"/>
      <c r="Z57" s="5">
        <f t="shared" ref="Z57:Z60" si="51">IF(T57=0,0,X57/T57)</f>
        <v>0</v>
      </c>
    </row>
    <row r="58" spans="1:26" s="24" customFormat="1" hidden="1" outlineLevel="2" x14ac:dyDescent="0.25">
      <c r="A58" s="26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30</v>
      </c>
      <c r="E61" s="1"/>
      <c r="F61" s="5">
        <f t="shared" ref="F61:F62" si="52">IF(D$12=0,0,D61/D$12)</f>
        <v>0</v>
      </c>
      <c r="G61" s="1"/>
      <c r="H61" s="1">
        <f>SUM(OSRRefH22_10x_0)</f>
        <v>0</v>
      </c>
      <c r="I61" s="1"/>
      <c r="J61" s="5">
        <f t="shared" ref="J61:J62" si="53">IF(H$12=0,0,H61/H$12)</f>
        <v>0</v>
      </c>
      <c r="K61" s="1"/>
      <c r="L61" s="1">
        <f t="shared" ref="L61:L62" si="54">+D61-H61</f>
        <v>30</v>
      </c>
      <c r="M61" s="1"/>
      <c r="N61" s="5">
        <f t="shared" ref="N61:N62" si="55">IF(H61=0,0,L61/H61)</f>
        <v>0</v>
      </c>
      <c r="O61" s="13"/>
      <c r="P61" s="1">
        <f>SUM(OSRRefP22_10x_0)</f>
        <v>394.32</v>
      </c>
      <c r="Q61" s="1"/>
      <c r="R61" s="5">
        <f t="shared" ref="R61:R62" si="56">IF(P$12=0,0,P61/P$12)</f>
        <v>0</v>
      </c>
      <c r="S61" s="1"/>
      <c r="T61" s="1">
        <f>SUM(OSRRefT22_10x_0)</f>
        <v>0</v>
      </c>
      <c r="U61" s="1"/>
      <c r="V61" s="5">
        <f t="shared" ref="V61:V62" si="57">IF(T$12=0,0,T61/T$12)</f>
        <v>0</v>
      </c>
      <c r="W61" s="1"/>
      <c r="X61" s="1">
        <f t="shared" ref="X61:X62" si="58">+P61-T61</f>
        <v>394.32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7">
        <v>30</v>
      </c>
      <c r="E62" s="2"/>
      <c r="F62" s="6">
        <f t="shared" si="52"/>
        <v>0</v>
      </c>
      <c r="G62" s="2"/>
      <c r="H62" s="7"/>
      <c r="I62" s="2"/>
      <c r="J62" s="6">
        <f t="shared" si="53"/>
        <v>0</v>
      </c>
      <c r="K62" s="2"/>
      <c r="L62" s="7">
        <f t="shared" si="54"/>
        <v>30</v>
      </c>
      <c r="M62" s="2"/>
      <c r="N62" s="6">
        <f t="shared" si="55"/>
        <v>0</v>
      </c>
      <c r="O62" s="11"/>
      <c r="P62" s="7">
        <v>394.32</v>
      </c>
      <c r="Q62" s="2"/>
      <c r="R62" s="6">
        <f t="shared" si="56"/>
        <v>0</v>
      </c>
      <c r="S62" s="2"/>
      <c r="T62" s="7"/>
      <c r="U62" s="2"/>
      <c r="V62" s="6">
        <f t="shared" si="57"/>
        <v>0</v>
      </c>
      <c r="W62" s="2"/>
      <c r="X62" s="7">
        <f t="shared" si="58"/>
        <v>394.32</v>
      </c>
      <c r="Y62" s="2"/>
      <c r="Z62" s="6">
        <f t="shared" si="59"/>
        <v>0</v>
      </c>
    </row>
    <row r="63" spans="1:26" s="61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9" t="s">
        <v>293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277</v>
      </c>
      <c r="C66" s="28"/>
      <c r="D66" s="21">
        <f>+D18-D20+D64</f>
        <v>-770.02</v>
      </c>
      <c r="E66" s="14"/>
      <c r="F66" s="20">
        <f>IF(D$12=0,0,D66/D$12)</f>
        <v>0</v>
      </c>
      <c r="G66" s="14"/>
      <c r="H66" s="21">
        <f>+H18-H20+H64</f>
        <v>0</v>
      </c>
      <c r="I66" s="14"/>
      <c r="J66" s="20">
        <f>IF(H$12=0,0,H66/H$12)</f>
        <v>0</v>
      </c>
      <c r="K66" s="16"/>
      <c r="L66" s="21">
        <f>+D66-H66</f>
        <v>-770.02</v>
      </c>
      <c r="M66" s="16"/>
      <c r="N66" s="20">
        <f>IF(H66=0,0,L66/H66)</f>
        <v>0</v>
      </c>
      <c r="O66" s="29"/>
      <c r="P66" s="21">
        <f>+P18-P20+P64</f>
        <v>-9491.3799999999992</v>
      </c>
      <c r="Q66" s="14"/>
      <c r="R66" s="20">
        <f>IF(P$12=0,0,P66/P$12)</f>
        <v>0</v>
      </c>
      <c r="S66" s="14"/>
      <c r="T66" s="21">
        <f>+T18-T20+T64</f>
        <v>2</v>
      </c>
      <c r="U66" s="14"/>
      <c r="V66" s="20">
        <f>IF(T$12=0,0,T66/T$12)</f>
        <v>1</v>
      </c>
      <c r="W66" s="16"/>
      <c r="X66" s="21">
        <f>+P66-T66</f>
        <v>-9493.3799999999992</v>
      </c>
      <c r="Y66" s="16"/>
      <c r="Z66" s="20">
        <f>IF(T66=0,0,X66/T66)</f>
        <v>-4746.6899999999996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2"/>
      <c r="B68" s="10" t="s">
        <v>128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126</v>
      </c>
      <c r="C70" s="28"/>
      <c r="D70" s="31">
        <f>+D66-D68</f>
        <v>-770.02</v>
      </c>
      <c r="E70" s="14"/>
      <c r="F70" s="33">
        <f>IF(D$12=0,0,D70/D$12)</f>
        <v>0</v>
      </c>
      <c r="G70" s="14"/>
      <c r="H70" s="31">
        <f>+H66-H68</f>
        <v>0</v>
      </c>
      <c r="I70" s="14"/>
      <c r="J70" s="33">
        <f>IF(H$12=0,0,H70/H$12)</f>
        <v>0</v>
      </c>
      <c r="K70" s="16"/>
      <c r="L70" s="31">
        <f>D70-H70</f>
        <v>-770.02</v>
      </c>
      <c r="M70" s="16"/>
      <c r="N70" s="33">
        <f>IF(H70=0,0,L70/H70)</f>
        <v>0</v>
      </c>
      <c r="O70" s="29"/>
      <c r="P70" s="31">
        <f>+P66-P68</f>
        <v>-9491.3799999999992</v>
      </c>
      <c r="Q70" s="14"/>
      <c r="R70" s="33">
        <f>IF(P$12=0,0,P70/P$12)</f>
        <v>0</v>
      </c>
      <c r="S70" s="14"/>
      <c r="T70" s="31">
        <f>+T66-T68</f>
        <v>2</v>
      </c>
      <c r="U70" s="14"/>
      <c r="V70" s="33">
        <f>IF(T$12=0,0,T70/T$12)</f>
        <v>1</v>
      </c>
      <c r="W70" s="16"/>
      <c r="X70" s="31">
        <f>P70-T70</f>
        <v>-9493.3799999999992</v>
      </c>
      <c r="Y70" s="16"/>
      <c r="Z70" s="33">
        <f>IF(T70=0,0,X70/T70)</f>
        <v>-4746.6899999999996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294</v>
      </c>
      <c r="C73" s="28"/>
      <c r="D73" s="34">
        <f>SUM(D70:D72)</f>
        <v>-770.02</v>
      </c>
      <c r="E73" s="14"/>
      <c r="F73" s="35">
        <f>IF(D$12=0,0,D73/D$12)</f>
        <v>0</v>
      </c>
      <c r="G73" s="14"/>
      <c r="H73" s="34">
        <f>SUM(H70:H72)</f>
        <v>0</v>
      </c>
      <c r="I73" s="14"/>
      <c r="J73" s="35">
        <f>IF(H$12=0,0,H73/H$12)</f>
        <v>0</v>
      </c>
      <c r="K73" s="16"/>
      <c r="L73" s="34">
        <f>+D73-H73</f>
        <v>-770.02</v>
      </c>
      <c r="M73" s="16"/>
      <c r="N73" s="35">
        <f>IF(H73=0,0,L73/H73)</f>
        <v>0</v>
      </c>
      <c r="O73" s="29"/>
      <c r="P73" s="34">
        <f>SUM(P70:P72)</f>
        <v>-9491.3799999999992</v>
      </c>
      <c r="Q73" s="14"/>
      <c r="R73" s="35">
        <f>IF(P$12=0,0,P73/P$12)</f>
        <v>0</v>
      </c>
      <c r="S73" s="14"/>
      <c r="T73" s="34">
        <f>SUM(T70:T72)</f>
        <v>2</v>
      </c>
      <c r="U73" s="14"/>
      <c r="V73" s="35">
        <f>IF(T$12=0,0,T73/T$12)</f>
        <v>1</v>
      </c>
      <c r="W73" s="16"/>
      <c r="X73" s="34">
        <f>+P73-T73</f>
        <v>-9493.3799999999992</v>
      </c>
      <c r="Y73" s="16"/>
      <c r="Z73" s="35">
        <f>IF(T73=0,0,X73/T73)</f>
        <v>-4746.6899999999996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62">
        <v>44330.0058283912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6" t="s">
        <v>56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5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34643</v>
      </c>
      <c r="I12" s="4"/>
      <c r="J12" s="12"/>
      <c r="K12" s="4"/>
      <c r="L12" s="4">
        <f t="shared" ref="L12:L17" si="0">+D12-H12</f>
        <v>-34643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190638</v>
      </c>
      <c r="U12" s="4"/>
      <c r="V12" s="12"/>
      <c r="W12" s="4"/>
      <c r="X12" s="4">
        <f t="shared" ref="X12:X17" si="2">+P12-T12</f>
        <v>-190638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7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7" si="5">0</f>
        <v>0</v>
      </c>
      <c r="Q13" s="2"/>
      <c r="R13" s="19"/>
      <c r="S13" s="2"/>
      <c r="T13" s="2"/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34643</v>
      </c>
      <c r="I14" s="2"/>
      <c r="J14" s="19"/>
      <c r="K14" s="2"/>
      <c r="L14" s="2">
        <f t="shared" si="0"/>
        <v>-34643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190638</v>
      </c>
      <c r="U14" s="2"/>
      <c r="V14" s="19"/>
      <c r="W14" s="2"/>
      <c r="X14" s="2">
        <f t="shared" si="2"/>
        <v>-190638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16421</v>
      </c>
      <c r="I19" s="4"/>
      <c r="J19" s="12">
        <f t="shared" ref="J19:J21" si="7">IF(H$12=0,0,H19/H$12)</f>
        <v>0.47400629275755563</v>
      </c>
      <c r="K19" s="4"/>
      <c r="L19" s="4">
        <f t="shared" ref="L19:L21" si="8">+D19-H19</f>
        <v>-16421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90363</v>
      </c>
      <c r="U19" s="4"/>
      <c r="V19" s="12">
        <f t="shared" ref="V19:V21" si="11">IF(T$12=0,0,T19/T$12)</f>
        <v>0.47400308437981936</v>
      </c>
      <c r="W19" s="4"/>
      <c r="X19" s="4">
        <f t="shared" ref="X19:X21" si="12">+P19-T19</f>
        <v>-90976.59</v>
      </c>
      <c r="Y19" s="4"/>
      <c r="Z19" s="12">
        <f t="shared" ref="Z19:Z21" si="13">IF(T19=0,0,X19/T19)</f>
        <v>-1.0067902792071977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16421</v>
      </c>
      <c r="I20" s="2"/>
      <c r="J20" s="19">
        <f t="shared" si="7"/>
        <v>0.47400629275755563</v>
      </c>
      <c r="K20" s="2"/>
      <c r="L20" s="2">
        <f t="shared" si="8"/>
        <v>-16421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90363</v>
      </c>
      <c r="U20" s="2"/>
      <c r="V20" s="19">
        <f t="shared" si="11"/>
        <v>0.47400308437981936</v>
      </c>
      <c r="W20" s="2"/>
      <c r="X20" s="2">
        <f t="shared" si="12"/>
        <v>-90363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-613.59</v>
      </c>
      <c r="Q21" s="2"/>
      <c r="R21" s="19">
        <f t="shared" si="10"/>
        <v>0</v>
      </c>
      <c r="S21" s="2"/>
      <c r="T21" s="2"/>
      <c r="U21" s="2"/>
      <c r="V21" s="19">
        <f t="shared" si="11"/>
        <v>0</v>
      </c>
      <c r="W21" s="2"/>
      <c r="X21" s="2">
        <f t="shared" si="12"/>
        <v>-613.59</v>
      </c>
      <c r="Y21" s="2"/>
      <c r="Z21" s="19">
        <f t="shared" si="13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1">
        <f>D12-D19</f>
        <v>0</v>
      </c>
      <c r="E23" s="14"/>
      <c r="F23" s="20">
        <f>IF(D$12=0,0,D23/D$12)</f>
        <v>0</v>
      </c>
      <c r="G23" s="14"/>
      <c r="H23" s="21">
        <f>H12-H19</f>
        <v>18222</v>
      </c>
      <c r="I23" s="14"/>
      <c r="J23" s="20">
        <f>IF(H$12=0,0,H23/H$12)</f>
        <v>0.52599370724244432</v>
      </c>
      <c r="K23" s="16"/>
      <c r="L23" s="21">
        <f>+D23-H23</f>
        <v>-18222</v>
      </c>
      <c r="M23" s="16"/>
      <c r="N23" s="20">
        <f>IF(H23=0,0,L23/H23)</f>
        <v>-1</v>
      </c>
      <c r="O23" s="29"/>
      <c r="P23" s="21">
        <f>P12-P19</f>
        <v>613.59</v>
      </c>
      <c r="Q23" s="14"/>
      <c r="R23" s="20">
        <f>IF(P$12=0,0,P23/P$12)</f>
        <v>0</v>
      </c>
      <c r="S23" s="14"/>
      <c r="T23" s="21">
        <f>T12-T19</f>
        <v>100275</v>
      </c>
      <c r="U23" s="14"/>
      <c r="V23" s="20">
        <f>IF(T$12=0,0,T23/T$12)</f>
        <v>0.52599691562018069</v>
      </c>
      <c r="W23" s="16"/>
      <c r="X23" s="21">
        <f>+P23-T23</f>
        <v>-99661.41</v>
      </c>
      <c r="Y23" s="16"/>
      <c r="Z23" s="20">
        <f>IF(T23=0,0,X23/T23)</f>
        <v>-0.99388092744951384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102.28</v>
      </c>
      <c r="E25" s="22"/>
      <c r="F25" s="32">
        <f t="shared" ref="F25:F35" si="14">IF(D$12=0,0,D25/D$12)</f>
        <v>0</v>
      </c>
      <c r="G25" s="22"/>
      <c r="H25" s="22">
        <f>SUM(OSRRefH22x_0)</f>
        <v>24747.042872000002</v>
      </c>
      <c r="I25" s="22"/>
      <c r="J25" s="32">
        <f t="shared" ref="J25:J35" si="15">IF(H$12=0,0,H25/H$12)</f>
        <v>0.71434468354357306</v>
      </c>
      <c r="K25" s="4"/>
      <c r="L25" s="22">
        <f t="shared" ref="L25:L35" si="16">+D25-H25</f>
        <v>-24644.762872000003</v>
      </c>
      <c r="M25" s="4"/>
      <c r="N25" s="32">
        <f t="shared" ref="N25:N35" si="17">IF(H25=0,0,L25/H25)</f>
        <v>-0.99586698093469084</v>
      </c>
      <c r="O25" s="10"/>
      <c r="P25" s="22">
        <f>SUM(OSRRefP22x_0)</f>
        <v>46750.96</v>
      </c>
      <c r="Q25" s="22"/>
      <c r="R25" s="32">
        <f t="shared" ref="R25:R35" si="18">IF(P$12=0,0,P25/P$12)</f>
        <v>0</v>
      </c>
      <c r="S25" s="22"/>
      <c r="T25" s="22">
        <f>SUM(OSRRefT22x_0)</f>
        <v>171689.4013122</v>
      </c>
      <c r="U25" s="22"/>
      <c r="V25" s="32">
        <f t="shared" ref="V25:V35" si="19">IF(T$12=0,0,T25/T$12)</f>
        <v>0.90060429354168636</v>
      </c>
      <c r="W25" s="4"/>
      <c r="X25" s="22">
        <f t="shared" ref="X25:X35" si="20">+P25-T25</f>
        <v>-124938.44131220001</v>
      </c>
      <c r="Y25" s="4"/>
      <c r="Z25" s="32">
        <f t="shared" ref="Z25:Z35" si="21">IF(T25=0,0,X25/T25)</f>
        <v>-0.72770037263402154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4"/>
        <v>0</v>
      </c>
      <c r="G26" s="1"/>
      <c r="H26" s="1">
        <f>SUM(OSRRefH22_0x_0)</f>
        <v>4289.877872</v>
      </c>
      <c r="I26" s="1"/>
      <c r="J26" s="5">
        <f t="shared" si="15"/>
        <v>0.12383101555869873</v>
      </c>
      <c r="K26" s="1"/>
      <c r="L26" s="1">
        <f t="shared" si="16"/>
        <v>-4289.877872</v>
      </c>
      <c r="M26" s="1"/>
      <c r="N26" s="5">
        <f t="shared" si="17"/>
        <v>-1</v>
      </c>
      <c r="O26" s="13"/>
      <c r="P26" s="1">
        <f>SUM(OSRRefP22_0x_0)</f>
        <v>21787.579999999998</v>
      </c>
      <c r="Q26" s="1"/>
      <c r="R26" s="5">
        <f t="shared" si="18"/>
        <v>0</v>
      </c>
      <c r="S26" s="1"/>
      <c r="T26" s="1">
        <f>SUM(OSRRefT22_0x_0)</f>
        <v>38327.041312199995</v>
      </c>
      <c r="U26" s="1"/>
      <c r="V26" s="5">
        <f t="shared" si="19"/>
        <v>0.20104617816070247</v>
      </c>
      <c r="W26" s="1"/>
      <c r="X26" s="1">
        <f t="shared" si="20"/>
        <v>-16539.461312199997</v>
      </c>
      <c r="Y26" s="1"/>
      <c r="Z26" s="5">
        <f t="shared" si="21"/>
        <v>-0.43153504016850036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4"/>
        <v>0</v>
      </c>
      <c r="G27" s="2"/>
      <c r="H27" s="7">
        <v>813.33022800000003</v>
      </c>
      <c r="I27" s="2"/>
      <c r="J27" s="6">
        <f t="shared" si="15"/>
        <v>2.3477476777415351E-2</v>
      </c>
      <c r="K27" s="2"/>
      <c r="L27" s="7">
        <f t="shared" si="16"/>
        <v>-813.33022800000003</v>
      </c>
      <c r="M27" s="2"/>
      <c r="N27" s="6">
        <f t="shared" si="17"/>
        <v>-1</v>
      </c>
      <c r="O27" s="11"/>
      <c r="P27" s="7">
        <v>1924.35</v>
      </c>
      <c r="Q27" s="2"/>
      <c r="R27" s="6">
        <f t="shared" si="18"/>
        <v>0</v>
      </c>
      <c r="S27" s="2"/>
      <c r="T27" s="7">
        <v>6033.0542862000002</v>
      </c>
      <c r="U27" s="2"/>
      <c r="V27" s="6">
        <f t="shared" si="19"/>
        <v>3.1646651172379067E-2</v>
      </c>
      <c r="W27" s="2"/>
      <c r="X27" s="7">
        <f t="shared" si="20"/>
        <v>-4108.7042861999998</v>
      </c>
      <c r="Y27" s="2"/>
      <c r="Z27" s="6">
        <f t="shared" si="21"/>
        <v>-0.68103220877661319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4"/>
        <v>0</v>
      </c>
      <c r="G28" s="2"/>
      <c r="H28" s="7">
        <v>329.07873999999998</v>
      </c>
      <c r="I28" s="2"/>
      <c r="J28" s="6">
        <f t="shared" si="15"/>
        <v>9.4991409519960737E-3</v>
      </c>
      <c r="K28" s="2"/>
      <c r="L28" s="7">
        <f t="shared" si="16"/>
        <v>-329.07873999999998</v>
      </c>
      <c r="M28" s="2"/>
      <c r="N28" s="6">
        <f t="shared" si="17"/>
        <v>-1</v>
      </c>
      <c r="O28" s="11"/>
      <c r="P28" s="7">
        <v>499.06</v>
      </c>
      <c r="Q28" s="2"/>
      <c r="R28" s="6">
        <f t="shared" si="18"/>
        <v>0</v>
      </c>
      <c r="S28" s="2"/>
      <c r="T28" s="7">
        <v>2119.3907100000001</v>
      </c>
      <c r="U28" s="2"/>
      <c r="V28" s="6">
        <f t="shared" si="19"/>
        <v>1.1117357032700722E-2</v>
      </c>
      <c r="W28" s="2"/>
      <c r="X28" s="7">
        <f t="shared" si="20"/>
        <v>-1620.3307100000002</v>
      </c>
      <c r="Y28" s="2"/>
      <c r="Z28" s="6">
        <f t="shared" si="21"/>
        <v>-0.7645266643638351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4"/>
        <v>0</v>
      </c>
      <c r="G29" s="2"/>
      <c r="H29" s="7">
        <v>1980</v>
      </c>
      <c r="I29" s="2"/>
      <c r="J29" s="6">
        <f t="shared" si="15"/>
        <v>5.7154403486995929E-2</v>
      </c>
      <c r="K29" s="2"/>
      <c r="L29" s="7">
        <f t="shared" si="16"/>
        <v>-1980</v>
      </c>
      <c r="M29" s="2"/>
      <c r="N29" s="6">
        <f t="shared" si="17"/>
        <v>-1</v>
      </c>
      <c r="O29" s="11"/>
      <c r="P29" s="7">
        <v>12083.19</v>
      </c>
      <c r="Q29" s="2"/>
      <c r="R29" s="6">
        <f t="shared" si="18"/>
        <v>0</v>
      </c>
      <c r="S29" s="2"/>
      <c r="T29" s="7">
        <v>19800</v>
      </c>
      <c r="U29" s="2"/>
      <c r="V29" s="6">
        <f t="shared" si="19"/>
        <v>0.10386176942687188</v>
      </c>
      <c r="W29" s="2"/>
      <c r="X29" s="7">
        <f t="shared" si="20"/>
        <v>-7716.8099999999995</v>
      </c>
      <c r="Y29" s="2"/>
      <c r="Z29" s="6">
        <f t="shared" si="21"/>
        <v>-0.38973787878787874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4"/>
        <v>0</v>
      </c>
      <c r="G30" s="2"/>
      <c r="H30" s="7">
        <v>46.248904000000003</v>
      </c>
      <c r="I30" s="2"/>
      <c r="J30" s="6">
        <f t="shared" si="15"/>
        <v>1.3350144040643133E-3</v>
      </c>
      <c r="K30" s="2"/>
      <c r="L30" s="7">
        <f t="shared" si="16"/>
        <v>-46.248904000000003</v>
      </c>
      <c r="M30" s="2"/>
      <c r="N30" s="6">
        <f t="shared" si="17"/>
        <v>-1</v>
      </c>
      <c r="O30" s="11"/>
      <c r="P30" s="7">
        <v>70.14</v>
      </c>
      <c r="Q30" s="2"/>
      <c r="R30" s="6">
        <f t="shared" si="18"/>
        <v>0</v>
      </c>
      <c r="S30" s="2"/>
      <c r="T30" s="7">
        <v>297.86031600000001</v>
      </c>
      <c r="U30" s="2"/>
      <c r="V30" s="6">
        <f t="shared" si="19"/>
        <v>1.5624393667579392E-3</v>
      </c>
      <c r="W30" s="2"/>
      <c r="X30" s="7">
        <f t="shared" si="20"/>
        <v>-227.72031600000003</v>
      </c>
      <c r="Y30" s="2"/>
      <c r="Z30" s="6">
        <f t="shared" si="21"/>
        <v>-0.76452049423059099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4"/>
        <v>0</v>
      </c>
      <c r="G31" s="2"/>
      <c r="H31" s="7">
        <v>598.34500000000003</v>
      </c>
      <c r="I31" s="2"/>
      <c r="J31" s="6">
        <f t="shared" si="15"/>
        <v>1.7271743209306353E-2</v>
      </c>
      <c r="K31" s="2"/>
      <c r="L31" s="7">
        <f t="shared" si="16"/>
        <v>-598.34500000000003</v>
      </c>
      <c r="M31" s="2"/>
      <c r="N31" s="6">
        <f t="shared" si="17"/>
        <v>-1</v>
      </c>
      <c r="O31" s="11"/>
      <c r="P31" s="7">
        <v>3490.92</v>
      </c>
      <c r="Q31" s="2"/>
      <c r="R31" s="6">
        <f t="shared" si="18"/>
        <v>0</v>
      </c>
      <c r="S31" s="2"/>
      <c r="T31" s="7">
        <v>5265.4359999999997</v>
      </c>
      <c r="U31" s="2"/>
      <c r="V31" s="6">
        <f t="shared" si="19"/>
        <v>2.7620075745654064E-2</v>
      </c>
      <c r="W31" s="2"/>
      <c r="X31" s="7">
        <f t="shared" si="20"/>
        <v>-1774.5159999999996</v>
      </c>
      <c r="Y31" s="2"/>
      <c r="Z31" s="6">
        <f t="shared" si="21"/>
        <v>-0.33701216765335285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4"/>
        <v>0</v>
      </c>
      <c r="G32" s="2"/>
      <c r="H32" s="7">
        <v>0</v>
      </c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0</v>
      </c>
      <c r="U32" s="2"/>
      <c r="V32" s="6">
        <f t="shared" si="19"/>
        <v>0</v>
      </c>
      <c r="W32" s="2"/>
      <c r="X32" s="7">
        <f t="shared" si="20"/>
        <v>0</v>
      </c>
      <c r="Y32" s="2"/>
      <c r="Z32" s="6">
        <f t="shared" si="21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4"/>
        <v>0</v>
      </c>
      <c r="G33" s="2"/>
      <c r="H33" s="7">
        <v>208.72499999999999</v>
      </c>
      <c r="I33" s="2"/>
      <c r="J33" s="6">
        <f t="shared" si="15"/>
        <v>6.0250267009208207E-3</v>
      </c>
      <c r="K33" s="2"/>
      <c r="L33" s="7">
        <f t="shared" si="16"/>
        <v>-208.72499999999999</v>
      </c>
      <c r="M33" s="2"/>
      <c r="N33" s="6">
        <f t="shared" si="17"/>
        <v>-1</v>
      </c>
      <c r="O33" s="11"/>
      <c r="P33" s="7">
        <v>2035.3</v>
      </c>
      <c r="Q33" s="2"/>
      <c r="R33" s="6">
        <f t="shared" si="18"/>
        <v>0</v>
      </c>
      <c r="S33" s="2"/>
      <c r="T33" s="7">
        <v>1836.78</v>
      </c>
      <c r="U33" s="2"/>
      <c r="V33" s="6">
        <f t="shared" si="19"/>
        <v>9.6349101438328137E-3</v>
      </c>
      <c r="W33" s="2"/>
      <c r="X33" s="7">
        <f t="shared" si="20"/>
        <v>198.51999999999998</v>
      </c>
      <c r="Y33" s="2"/>
      <c r="Z33" s="6">
        <f t="shared" si="21"/>
        <v>0.10808044512679797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4"/>
        <v>0</v>
      </c>
      <c r="G34" s="2"/>
      <c r="H34" s="7">
        <v>139.15</v>
      </c>
      <c r="I34" s="2"/>
      <c r="J34" s="6">
        <f t="shared" si="15"/>
        <v>4.0166844672805471E-3</v>
      </c>
      <c r="K34" s="2"/>
      <c r="L34" s="7">
        <f t="shared" si="16"/>
        <v>-139.15</v>
      </c>
      <c r="M34" s="2"/>
      <c r="N34" s="6">
        <f t="shared" si="17"/>
        <v>-1</v>
      </c>
      <c r="O34" s="11"/>
      <c r="P34" s="7">
        <v>1283.8</v>
      </c>
      <c r="Q34" s="2"/>
      <c r="R34" s="6">
        <f t="shared" si="18"/>
        <v>0</v>
      </c>
      <c r="S34" s="2"/>
      <c r="T34" s="7">
        <v>1224.52</v>
      </c>
      <c r="U34" s="2"/>
      <c r="V34" s="6">
        <f t="shared" si="19"/>
        <v>6.4232734292218761E-3</v>
      </c>
      <c r="W34" s="2"/>
      <c r="X34" s="7">
        <f t="shared" si="20"/>
        <v>59.279999999999973</v>
      </c>
      <c r="Y34" s="2"/>
      <c r="Z34" s="6">
        <f t="shared" si="21"/>
        <v>4.84108058667886E-2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/>
      <c r="E35" s="2"/>
      <c r="F35" s="6">
        <f t="shared" si="14"/>
        <v>0</v>
      </c>
      <c r="G35" s="2"/>
      <c r="H35" s="7">
        <v>175</v>
      </c>
      <c r="I35" s="2"/>
      <c r="J35" s="6">
        <f t="shared" si="15"/>
        <v>5.0515255607193376E-3</v>
      </c>
      <c r="K35" s="2"/>
      <c r="L35" s="7">
        <f t="shared" si="16"/>
        <v>-175</v>
      </c>
      <c r="M35" s="2"/>
      <c r="N35" s="6">
        <f t="shared" si="17"/>
        <v>-1</v>
      </c>
      <c r="O35" s="11"/>
      <c r="P35" s="7">
        <v>400.82</v>
      </c>
      <c r="Q35" s="2"/>
      <c r="R35" s="6">
        <f t="shared" si="18"/>
        <v>0</v>
      </c>
      <c r="S35" s="2"/>
      <c r="T35" s="7">
        <v>1750</v>
      </c>
      <c r="U35" s="2"/>
      <c r="V35" s="6">
        <f t="shared" si="19"/>
        <v>9.1797018432841302E-3</v>
      </c>
      <c r="W35" s="2"/>
      <c r="X35" s="7">
        <f t="shared" si="20"/>
        <v>-1349.18</v>
      </c>
      <c r="Y35" s="2"/>
      <c r="Z35" s="6">
        <f t="shared" si="21"/>
        <v>-0.77096000000000009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6" si="22">IF(D$12=0,0,D36/D$12)</f>
        <v>0</v>
      </c>
      <c r="G36" s="1"/>
      <c r="H36" s="1">
        <f>SUM(OSRRefH22_1x_0)</f>
        <v>17440.165000000001</v>
      </c>
      <c r="I36" s="1"/>
      <c r="J36" s="5">
        <f t="shared" ref="J36:J46" si="23">IF(H$12=0,0,H36/H$12)</f>
        <v>0.50342536731807297</v>
      </c>
      <c r="K36" s="1"/>
      <c r="L36" s="1">
        <f t="shared" ref="L36:L46" si="24">+D36-H36</f>
        <v>-17440.165000000001</v>
      </c>
      <c r="M36" s="1"/>
      <c r="N36" s="5">
        <f t="shared" ref="N36:N46" si="25">IF(H36=0,0,L36/H36)</f>
        <v>-1</v>
      </c>
      <c r="O36" s="13"/>
      <c r="P36" s="1">
        <f>SUM(OSRRefP22_1x_0)</f>
        <v>23136.42</v>
      </c>
      <c r="Q36" s="1"/>
      <c r="R36" s="5">
        <f t="shared" ref="R36:R46" si="26">IF(P$12=0,0,P36/P$12)</f>
        <v>0</v>
      </c>
      <c r="S36" s="1"/>
      <c r="T36" s="1">
        <f>SUM(OSRRefT22_1x_0)</f>
        <v>111500.36</v>
      </c>
      <c r="U36" s="1"/>
      <c r="V36" s="5">
        <f t="shared" ref="V36:V46" si="27">IF(T$12=0,0,T36/T$12)</f>
        <v>0.58488003441076808</v>
      </c>
      <c r="W36" s="1"/>
      <c r="X36" s="1">
        <f t="shared" ref="X36:X46" si="28">+P36-T36</f>
        <v>-88363.94</v>
      </c>
      <c r="Y36" s="1"/>
      <c r="Z36" s="5">
        <f t="shared" ref="Z36:Z46" si="29">IF(T36=0,0,X36/T36)</f>
        <v>-0.79249914529423937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2"/>
        <v>0</v>
      </c>
      <c r="G37" s="2"/>
      <c r="H37" s="7">
        <v>6609.625</v>
      </c>
      <c r="I37" s="2"/>
      <c r="J37" s="6">
        <f t="shared" si="23"/>
        <v>0.19079251219582599</v>
      </c>
      <c r="K37" s="2"/>
      <c r="L37" s="7">
        <f t="shared" si="24"/>
        <v>-6609.625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58164.7</v>
      </c>
      <c r="U37" s="2"/>
      <c r="V37" s="6">
        <f t="shared" si="27"/>
        <v>0.3051054878880391</v>
      </c>
      <c r="W37" s="2"/>
      <c r="X37" s="7">
        <f t="shared" si="28"/>
        <v>-58164.7</v>
      </c>
      <c r="Y37" s="2"/>
      <c r="Z37" s="6">
        <f t="shared" si="29"/>
        <v>-1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23136.42</v>
      </c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23136.42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2"/>
        <v>0</v>
      </c>
      <c r="G40" s="2"/>
      <c r="H40" s="7">
        <v>3670.1</v>
      </c>
      <c r="I40" s="2"/>
      <c r="J40" s="6">
        <f t="shared" si="23"/>
        <v>0.10594059405940594</v>
      </c>
      <c r="K40" s="2"/>
      <c r="L40" s="7">
        <f t="shared" si="24"/>
        <v>-3670.1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17606.54</v>
      </c>
      <c r="U40" s="2"/>
      <c r="V40" s="6">
        <f t="shared" si="27"/>
        <v>9.2355878681060447E-2</v>
      </c>
      <c r="W40" s="2"/>
      <c r="X40" s="7">
        <f t="shared" si="28"/>
        <v>-17606.54</v>
      </c>
      <c r="Y40" s="2"/>
      <c r="Z40" s="6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2"/>
        <v>0</v>
      </c>
      <c r="G41" s="2"/>
      <c r="H41" s="7">
        <v>3670.1</v>
      </c>
      <c r="I41" s="2"/>
      <c r="J41" s="6">
        <f t="shared" si="23"/>
        <v>0.10594059405940594</v>
      </c>
      <c r="K41" s="2"/>
      <c r="L41" s="7">
        <f t="shared" si="24"/>
        <v>-3670.1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23430.54</v>
      </c>
      <c r="U41" s="2"/>
      <c r="V41" s="6">
        <f t="shared" si="27"/>
        <v>0.12290592641551003</v>
      </c>
      <c r="W41" s="2"/>
      <c r="X41" s="7">
        <f t="shared" si="28"/>
        <v>-23430.54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2"/>
        <v>0</v>
      </c>
      <c r="G44" s="2"/>
      <c r="H44" s="7">
        <v>3490.34</v>
      </c>
      <c r="I44" s="2"/>
      <c r="J44" s="6">
        <f t="shared" si="23"/>
        <v>0.10075166700343505</v>
      </c>
      <c r="K44" s="2"/>
      <c r="L44" s="7">
        <f t="shared" si="24"/>
        <v>-3490.34</v>
      </c>
      <c r="M44" s="2"/>
      <c r="N44" s="6">
        <f t="shared" si="25"/>
        <v>-1</v>
      </c>
      <c r="O44" s="11"/>
      <c r="P44" s="7"/>
      <c r="Q44" s="2"/>
      <c r="R44" s="6">
        <f t="shared" si="26"/>
        <v>0</v>
      </c>
      <c r="S44" s="2"/>
      <c r="T44" s="7">
        <v>12298.58</v>
      </c>
      <c r="U44" s="2"/>
      <c r="V44" s="6">
        <f t="shared" si="27"/>
        <v>6.4512741426158482E-2</v>
      </c>
      <c r="W44" s="2"/>
      <c r="X44" s="7">
        <f t="shared" si="28"/>
        <v>-12298.58</v>
      </c>
      <c r="Y44" s="2"/>
      <c r="Z44" s="6">
        <f t="shared" si="29"/>
        <v>-1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/>
      <c r="Q45" s="2"/>
      <c r="R45" s="6">
        <f t="shared" si="26"/>
        <v>0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0</v>
      </c>
      <c r="Y45" s="2"/>
      <c r="Z45" s="6">
        <f t="shared" si="29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/>
      <c r="Q46" s="2"/>
      <c r="R46" s="6">
        <f t="shared" si="26"/>
        <v>0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0</v>
      </c>
      <c r="Y46" s="2"/>
      <c r="Z46" s="6">
        <f t="shared" si="29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7" si="30">IF(D$12=0,0,D47/D$12)</f>
        <v>0</v>
      </c>
      <c r="G47" s="1"/>
      <c r="H47" s="1">
        <f>SUM(OSRRefH22_2x_0)</f>
        <v>100</v>
      </c>
      <c r="I47" s="1"/>
      <c r="J47" s="5">
        <f t="shared" ref="J47:J57" si="31">IF(H$12=0,0,H47/H$12)</f>
        <v>2.8865860346967641E-3</v>
      </c>
      <c r="K47" s="1"/>
      <c r="L47" s="1">
        <f t="shared" ref="L47:L57" si="32">+D47-H47</f>
        <v>-100</v>
      </c>
      <c r="M47" s="1"/>
      <c r="N47" s="5">
        <f t="shared" ref="N47:N57" si="33">IF(H47=0,0,L47/H47)</f>
        <v>-1</v>
      </c>
      <c r="O47" s="13"/>
      <c r="P47" s="1">
        <f>SUM(OSRRefP22_2x_0)</f>
        <v>0</v>
      </c>
      <c r="Q47" s="1"/>
      <c r="R47" s="5">
        <f t="shared" ref="R47:R57" si="34">IF(P$12=0,0,P47/P$12)</f>
        <v>0</v>
      </c>
      <c r="S47" s="1"/>
      <c r="T47" s="1">
        <f>SUM(OSRRefT22_2x_0)</f>
        <v>1000</v>
      </c>
      <c r="U47" s="1"/>
      <c r="V47" s="5">
        <f t="shared" ref="V47:V57" si="35">IF(T$12=0,0,T47/T$12)</f>
        <v>5.2455439104480747E-3</v>
      </c>
      <c r="W47" s="1"/>
      <c r="X47" s="1">
        <f t="shared" ref="X47:X57" si="36">+P47-T47</f>
        <v>-1000</v>
      </c>
      <c r="Y47" s="1"/>
      <c r="Z47" s="5">
        <f t="shared" ref="Z47:Z57" si="37">IF(T47=0,0,X47/T47)</f>
        <v>-1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30"/>
        <v>0</v>
      </c>
      <c r="G48" s="2"/>
      <c r="H48" s="7">
        <v>100</v>
      </c>
      <c r="I48" s="2"/>
      <c r="J48" s="6">
        <f t="shared" si="31"/>
        <v>2.8865860346967641E-3</v>
      </c>
      <c r="K48" s="2"/>
      <c r="L48" s="7">
        <f t="shared" si="32"/>
        <v>-100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1000</v>
      </c>
      <c r="U48" s="2"/>
      <c r="V48" s="6">
        <f t="shared" si="35"/>
        <v>5.2455439104480747E-3</v>
      </c>
      <c r="W48" s="2"/>
      <c r="X48" s="7">
        <f t="shared" si="36"/>
        <v>-1000</v>
      </c>
      <c r="Y48" s="2"/>
      <c r="Z48" s="6">
        <f t="shared" si="37"/>
        <v>-1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SUM(OSRRefD22_3x_0)</f>
        <v>0</v>
      </c>
      <c r="E49" s="1"/>
      <c r="F49" s="5">
        <f t="shared" si="30"/>
        <v>0</v>
      </c>
      <c r="G49" s="1"/>
      <c r="H49" s="1">
        <f>SUM(OSRRefH22_3x_0)</f>
        <v>2189</v>
      </c>
      <c r="I49" s="1"/>
      <c r="J49" s="5">
        <f t="shared" si="31"/>
        <v>6.3187368299512173E-2</v>
      </c>
      <c r="K49" s="1"/>
      <c r="L49" s="1">
        <f t="shared" si="32"/>
        <v>-2189</v>
      </c>
      <c r="M49" s="1"/>
      <c r="N49" s="5">
        <f t="shared" si="33"/>
        <v>-1</v>
      </c>
      <c r="O49" s="13"/>
      <c r="P49" s="1">
        <f>SUM(OSRRefP22_3x_0)</f>
        <v>240</v>
      </c>
      <c r="Q49" s="1"/>
      <c r="R49" s="5">
        <f t="shared" si="34"/>
        <v>0</v>
      </c>
      <c r="S49" s="1"/>
      <c r="T49" s="1">
        <f>SUM(OSRRefT22_3x_0)</f>
        <v>11947</v>
      </c>
      <c r="U49" s="1"/>
      <c r="V49" s="5">
        <f t="shared" si="35"/>
        <v>6.2668513098123144E-2</v>
      </c>
      <c r="W49" s="1"/>
      <c r="X49" s="1">
        <f t="shared" si="36"/>
        <v>-11707</v>
      </c>
      <c r="Y49" s="1"/>
      <c r="Z49" s="5">
        <f t="shared" si="37"/>
        <v>-0.97991127479702023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30"/>
        <v>0</v>
      </c>
      <c r="G50" s="2"/>
      <c r="H50" s="7">
        <v>2189</v>
      </c>
      <c r="I50" s="2"/>
      <c r="J50" s="6">
        <f t="shared" si="31"/>
        <v>6.3187368299512173E-2</v>
      </c>
      <c r="K50" s="2"/>
      <c r="L50" s="7">
        <f t="shared" si="32"/>
        <v>-2189</v>
      </c>
      <c r="M50" s="2"/>
      <c r="N50" s="6">
        <f t="shared" si="33"/>
        <v>-1</v>
      </c>
      <c r="O50" s="11"/>
      <c r="P50" s="7">
        <v>240</v>
      </c>
      <c r="Q50" s="2"/>
      <c r="R50" s="6">
        <f t="shared" si="34"/>
        <v>0</v>
      </c>
      <c r="S50" s="2"/>
      <c r="T50" s="7">
        <v>11947</v>
      </c>
      <c r="U50" s="2"/>
      <c r="V50" s="6">
        <f t="shared" si="35"/>
        <v>6.2668513098123144E-2</v>
      </c>
      <c r="W50" s="2"/>
      <c r="X50" s="7">
        <f t="shared" si="36"/>
        <v>-11707</v>
      </c>
      <c r="Y50" s="2"/>
      <c r="Z50" s="6">
        <f t="shared" si="37"/>
        <v>-0.97991127479702023</v>
      </c>
    </row>
    <row r="51" spans="1:26" s="25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30.28</v>
      </c>
      <c r="E51" s="1"/>
      <c r="F51" s="5">
        <f t="shared" si="30"/>
        <v>0</v>
      </c>
      <c r="G51" s="1"/>
      <c r="H51" s="1">
        <f>SUM(OSRRefH22_4x_0)</f>
        <v>0</v>
      </c>
      <c r="I51" s="1"/>
      <c r="J51" s="5">
        <f t="shared" si="31"/>
        <v>0</v>
      </c>
      <c r="K51" s="1"/>
      <c r="L51" s="1">
        <f t="shared" si="32"/>
        <v>30.28</v>
      </c>
      <c r="M51" s="1"/>
      <c r="N51" s="5">
        <f t="shared" si="33"/>
        <v>0</v>
      </c>
      <c r="O51" s="13"/>
      <c r="P51" s="1">
        <f>SUM(OSRRefP22_4x_0)</f>
        <v>280.10000000000002</v>
      </c>
      <c r="Q51" s="1"/>
      <c r="R51" s="5">
        <f t="shared" si="34"/>
        <v>0</v>
      </c>
      <c r="S51" s="1"/>
      <c r="T51" s="1">
        <f>SUM(OSRRefT22_4x_0)</f>
        <v>0</v>
      </c>
      <c r="U51" s="1"/>
      <c r="V51" s="5">
        <f t="shared" si="35"/>
        <v>0</v>
      </c>
      <c r="W51" s="1"/>
      <c r="X51" s="1">
        <f t="shared" si="36"/>
        <v>280.10000000000002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"6305", " - ", "FREIGHT OUT")</f>
        <v xml:space="preserve">          6305 - FREIGHT OUT</v>
      </c>
      <c r="C52" s="11"/>
      <c r="D52" s="7">
        <v>30.28</v>
      </c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30.28</v>
      </c>
      <c r="M52" s="2"/>
      <c r="N52" s="6">
        <f t="shared" si="33"/>
        <v>0</v>
      </c>
      <c r="O52" s="11"/>
      <c r="P52" s="7">
        <v>280.10000000000002</v>
      </c>
      <c r="Q52" s="2"/>
      <c r="R52" s="6">
        <f t="shared" si="34"/>
        <v>0</v>
      </c>
      <c r="S52" s="2"/>
      <c r="T52" s="7"/>
      <c r="U52" s="2"/>
      <c r="V52" s="6">
        <f t="shared" si="35"/>
        <v>0</v>
      </c>
      <c r="W52" s="2"/>
      <c r="X52" s="7">
        <f t="shared" si="36"/>
        <v>280.10000000000002</v>
      </c>
      <c r="Y52" s="2"/>
      <c r="Z52" s="6">
        <f t="shared" si="37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si="30"/>
        <v>0</v>
      </c>
      <c r="G53" s="1"/>
      <c r="H53" s="1">
        <f>SUM(OSRRefH22_5x_0)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SUM(OSRRefP22_5x_0)</f>
        <v>160</v>
      </c>
      <c r="Q53" s="1"/>
      <c r="R53" s="5">
        <f t="shared" si="34"/>
        <v>0</v>
      </c>
      <c r="S53" s="1"/>
      <c r="T53" s="1">
        <f>SUM(OSRRefT22_5x_0)</f>
        <v>1350</v>
      </c>
      <c r="U53" s="1"/>
      <c r="V53" s="5">
        <f t="shared" si="35"/>
        <v>7.0814842791049005E-3</v>
      </c>
      <c r="W53" s="1"/>
      <c r="X53" s="1">
        <f t="shared" si="36"/>
        <v>-1190</v>
      </c>
      <c r="Y53" s="1"/>
      <c r="Z53" s="5">
        <f t="shared" si="37"/>
        <v>-0.88148148148148153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160</v>
      </c>
      <c r="Q54" s="2"/>
      <c r="R54" s="6">
        <f t="shared" si="34"/>
        <v>0</v>
      </c>
      <c r="S54" s="2"/>
      <c r="T54" s="7">
        <v>1350</v>
      </c>
      <c r="U54" s="2"/>
      <c r="V54" s="6">
        <f t="shared" si="35"/>
        <v>7.0814842791049005E-3</v>
      </c>
      <c r="W54" s="2"/>
      <c r="X54" s="7">
        <f t="shared" si="36"/>
        <v>-1190</v>
      </c>
      <c r="Y54" s="2"/>
      <c r="Z54" s="6">
        <f t="shared" si="37"/>
        <v>-0.88148148148148153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SUM(OSRRefD22_6x_0)</f>
        <v>0</v>
      </c>
      <c r="E55" s="1"/>
      <c r="F55" s="5">
        <f t="shared" si="30"/>
        <v>0</v>
      </c>
      <c r="G55" s="1"/>
      <c r="H55" s="1">
        <f>SUM(OSRRefH22_6x_0)</f>
        <v>35</v>
      </c>
      <c r="I55" s="1"/>
      <c r="J55" s="5">
        <f t="shared" si="31"/>
        <v>1.0103051121438675E-3</v>
      </c>
      <c r="K55" s="1"/>
      <c r="L55" s="1">
        <f t="shared" si="32"/>
        <v>-35</v>
      </c>
      <c r="M55" s="1"/>
      <c r="N55" s="5">
        <f t="shared" si="33"/>
        <v>-1</v>
      </c>
      <c r="O55" s="13"/>
      <c r="P55" s="1">
        <f>SUM(OSRRefP22_6x_0)</f>
        <v>72.36</v>
      </c>
      <c r="Q55" s="1"/>
      <c r="R55" s="5">
        <f t="shared" si="34"/>
        <v>0</v>
      </c>
      <c r="S55" s="1"/>
      <c r="T55" s="1">
        <f>SUM(OSRRefT22_6x_0)</f>
        <v>315</v>
      </c>
      <c r="U55" s="1"/>
      <c r="V55" s="5">
        <f t="shared" si="35"/>
        <v>1.6523463317911435E-3</v>
      </c>
      <c r="W55" s="1"/>
      <c r="X55" s="1">
        <f t="shared" si="36"/>
        <v>-242.64</v>
      </c>
      <c r="Y55" s="1"/>
      <c r="Z55" s="5">
        <f t="shared" si="37"/>
        <v>-0.77028571428571424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>
        <v>72.36</v>
      </c>
      <c r="Q56" s="2"/>
      <c r="R56" s="6">
        <f t="shared" si="34"/>
        <v>0</v>
      </c>
      <c r="S56" s="2"/>
      <c r="T56" s="7"/>
      <c r="U56" s="2"/>
      <c r="V56" s="6">
        <f t="shared" si="35"/>
        <v>0</v>
      </c>
      <c r="W56" s="2"/>
      <c r="X56" s="7">
        <f t="shared" si="36"/>
        <v>72.36</v>
      </c>
      <c r="Y56" s="2"/>
      <c r="Z56" s="6">
        <f t="shared" si="37"/>
        <v>0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30"/>
        <v>0</v>
      </c>
      <c r="G57" s="2"/>
      <c r="H57" s="7">
        <v>35</v>
      </c>
      <c r="I57" s="2"/>
      <c r="J57" s="6">
        <f t="shared" si="31"/>
        <v>1.0103051121438675E-3</v>
      </c>
      <c r="K57" s="2"/>
      <c r="L57" s="7">
        <f t="shared" si="32"/>
        <v>-35</v>
      </c>
      <c r="M57" s="2"/>
      <c r="N57" s="6">
        <f t="shared" si="33"/>
        <v>-1</v>
      </c>
      <c r="O57" s="11"/>
      <c r="P57" s="7"/>
      <c r="Q57" s="2"/>
      <c r="R57" s="6">
        <f t="shared" si="34"/>
        <v>0</v>
      </c>
      <c r="S57" s="2"/>
      <c r="T57" s="7">
        <v>315</v>
      </c>
      <c r="U57" s="2"/>
      <c r="V57" s="6">
        <f t="shared" si="35"/>
        <v>1.6523463317911435E-3</v>
      </c>
      <c r="W57" s="2"/>
      <c r="X57" s="7">
        <f t="shared" si="36"/>
        <v>-315</v>
      </c>
      <c r="Y57" s="2"/>
      <c r="Z57" s="6">
        <f t="shared" si="37"/>
        <v>-1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SUM(OSRRefD22_7x_0)</f>
        <v>0</v>
      </c>
      <c r="E58" s="1"/>
      <c r="F58" s="5">
        <f t="shared" ref="F58:F63" si="38">IF(D$12=0,0,D58/D$12)</f>
        <v>0</v>
      </c>
      <c r="G58" s="1"/>
      <c r="H58" s="1">
        <f>SUM(OSRRefH22_7x_0)</f>
        <v>163</v>
      </c>
      <c r="I58" s="1"/>
      <c r="J58" s="5">
        <f t="shared" ref="J58:J63" si="39">IF(H$12=0,0,H58/H$12)</f>
        <v>4.7051352365557256E-3</v>
      </c>
      <c r="K58" s="1"/>
      <c r="L58" s="1">
        <f t="shared" ref="L58:L63" si="40">+D58-H58</f>
        <v>-163</v>
      </c>
      <c r="M58" s="1"/>
      <c r="N58" s="5">
        <f t="shared" ref="N58:N63" si="41">IF(H58=0,0,L58/H58)</f>
        <v>-1</v>
      </c>
      <c r="O58" s="13"/>
      <c r="P58" s="1">
        <f>SUM(OSRRefP22_7x_0)</f>
        <v>0</v>
      </c>
      <c r="Q58" s="1"/>
      <c r="R58" s="5">
        <f t="shared" ref="R58:R63" si="42">IF(P$12=0,0,P58/P$12)</f>
        <v>0</v>
      </c>
      <c r="S58" s="1"/>
      <c r="T58" s="1">
        <f>SUM(OSRRefT22_7x_0)</f>
        <v>1630</v>
      </c>
      <c r="U58" s="1"/>
      <c r="V58" s="5">
        <f t="shared" ref="V58:V63" si="43">IF(T$12=0,0,T58/T$12)</f>
        <v>8.5502365740303607E-3</v>
      </c>
      <c r="W58" s="1"/>
      <c r="X58" s="1">
        <f t="shared" ref="X58:X63" si="44">+P58-T58</f>
        <v>-1630</v>
      </c>
      <c r="Y58" s="1"/>
      <c r="Z58" s="5">
        <f t="shared" ref="Z58:Z63" si="45">IF(T58=0,0,X58/T58)</f>
        <v>-1</v>
      </c>
    </row>
    <row r="59" spans="1:26" s="24" customFormat="1" hidden="1" outlineLevel="2" x14ac:dyDescent="0.25">
      <c r="A59" s="26"/>
      <c r="B59" s="11" t="str">
        <f>CONCATENATE("          ", "6285", " - ", "JANITORIAL SERVICES")</f>
        <v xml:space="preserve">          6285 - JANITORIAL SERVICES</v>
      </c>
      <c r="C59" s="11"/>
      <c r="D59" s="7"/>
      <c r="E59" s="2"/>
      <c r="F59" s="6">
        <f t="shared" si="38"/>
        <v>0</v>
      </c>
      <c r="G59" s="2"/>
      <c r="H59" s="7">
        <v>163</v>
      </c>
      <c r="I59" s="2"/>
      <c r="J59" s="6">
        <f t="shared" si="39"/>
        <v>4.7051352365557256E-3</v>
      </c>
      <c r="K59" s="2"/>
      <c r="L59" s="7">
        <f t="shared" si="40"/>
        <v>-163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1630</v>
      </c>
      <c r="U59" s="2"/>
      <c r="V59" s="6">
        <f t="shared" si="43"/>
        <v>8.5502365740303607E-3</v>
      </c>
      <c r="W59" s="2"/>
      <c r="X59" s="7">
        <f t="shared" si="44"/>
        <v>-1630</v>
      </c>
      <c r="Y59" s="2"/>
      <c r="Z59" s="6">
        <f t="shared" si="45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SUM(OSRRefD22_8x_0)</f>
        <v>0</v>
      </c>
      <c r="E60" s="1"/>
      <c r="F60" s="5">
        <f t="shared" si="38"/>
        <v>0</v>
      </c>
      <c r="G60" s="1"/>
      <c r="H60" s="1">
        <f>SUM(OSRRefH22_8x_0)</f>
        <v>410</v>
      </c>
      <c r="I60" s="1"/>
      <c r="J60" s="5">
        <f t="shared" si="39"/>
        <v>1.1835002742256732E-2</v>
      </c>
      <c r="K60" s="1"/>
      <c r="L60" s="1">
        <f t="shared" si="40"/>
        <v>-410</v>
      </c>
      <c r="M60" s="1"/>
      <c r="N60" s="5">
        <f t="shared" si="41"/>
        <v>-1</v>
      </c>
      <c r="O60" s="13"/>
      <c r="P60" s="1">
        <f>SUM(OSRRefP22_8x_0)</f>
        <v>0</v>
      </c>
      <c r="Q60" s="1"/>
      <c r="R60" s="5">
        <f t="shared" si="42"/>
        <v>0</v>
      </c>
      <c r="S60" s="1"/>
      <c r="T60" s="1">
        <f>SUM(OSRRefT22_8x_0)</f>
        <v>4300</v>
      </c>
      <c r="U60" s="1"/>
      <c r="V60" s="5">
        <f t="shared" si="43"/>
        <v>2.2555838814926718E-2</v>
      </c>
      <c r="W60" s="1"/>
      <c r="X60" s="1">
        <f t="shared" si="44"/>
        <v>-4300</v>
      </c>
      <c r="Y60" s="1"/>
      <c r="Z60" s="5">
        <f t="shared" si="45"/>
        <v>-1</v>
      </c>
    </row>
    <row r="61" spans="1:26" s="24" customFormat="1" hidden="1" outlineLevel="2" x14ac:dyDescent="0.25">
      <c r="A61" s="26"/>
      <c r="B61" s="11" t="str">
        <f>CONCATENATE("          ", "6235", " - ", "COVID-19 EXPENSES")</f>
        <v xml:space="preserve">          6235 - COVID-19 EXPENSES</v>
      </c>
      <c r="C61" s="11"/>
      <c r="D61" s="7"/>
      <c r="E61" s="2"/>
      <c r="F61" s="6">
        <f t="shared" si="38"/>
        <v>0</v>
      </c>
      <c r="G61" s="2"/>
      <c r="H61" s="7">
        <v>0</v>
      </c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0</v>
      </c>
      <c r="U61" s="2"/>
      <c r="V61" s="6">
        <f t="shared" si="43"/>
        <v>0</v>
      </c>
      <c r="W61" s="2"/>
      <c r="X61" s="7">
        <f t="shared" si="44"/>
        <v>0</v>
      </c>
      <c r="Y61" s="2"/>
      <c r="Z61" s="6">
        <f t="shared" si="45"/>
        <v>0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38"/>
        <v>0</v>
      </c>
      <c r="G62" s="2"/>
      <c r="H62" s="7">
        <v>410</v>
      </c>
      <c r="I62" s="2"/>
      <c r="J62" s="6">
        <f t="shared" si="39"/>
        <v>1.1835002742256732E-2</v>
      </c>
      <c r="K62" s="2"/>
      <c r="L62" s="7">
        <f t="shared" si="40"/>
        <v>-410</v>
      </c>
      <c r="M62" s="2"/>
      <c r="N62" s="6">
        <f t="shared" si="41"/>
        <v>-1</v>
      </c>
      <c r="O62" s="11"/>
      <c r="P62" s="7"/>
      <c r="Q62" s="2"/>
      <c r="R62" s="6">
        <f t="shared" si="42"/>
        <v>0</v>
      </c>
      <c r="S62" s="2"/>
      <c r="T62" s="7">
        <v>4300</v>
      </c>
      <c r="U62" s="2"/>
      <c r="V62" s="6">
        <f t="shared" si="43"/>
        <v>2.2555838814926718E-2</v>
      </c>
      <c r="W62" s="2"/>
      <c r="X62" s="7">
        <f t="shared" si="44"/>
        <v>-4300</v>
      </c>
      <c r="Y62" s="2"/>
      <c r="Z62" s="6">
        <f t="shared" si="45"/>
        <v>-1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0</v>
      </c>
      <c r="U63" s="2"/>
      <c r="V63" s="6">
        <f t="shared" si="43"/>
        <v>0</v>
      </c>
      <c r="W63" s="2"/>
      <c r="X63" s="7">
        <f t="shared" si="44"/>
        <v>0</v>
      </c>
      <c r="Y63" s="2"/>
      <c r="Z63" s="6">
        <f t="shared" si="45"/>
        <v>0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SUM(OSRRefD22_9x_0)</f>
        <v>72</v>
      </c>
      <c r="E64" s="1"/>
      <c r="F64" s="5">
        <f t="shared" ref="F64:F66" si="46">IF(D$12=0,0,D64/D$12)</f>
        <v>0</v>
      </c>
      <c r="G64" s="1"/>
      <c r="H64" s="1">
        <f>SUM(OSRRefH22_9x_0)</f>
        <v>120</v>
      </c>
      <c r="I64" s="1"/>
      <c r="J64" s="5">
        <f t="shared" ref="J64:J66" si="47">IF(H$12=0,0,H64/H$12)</f>
        <v>3.4639032416361169E-3</v>
      </c>
      <c r="K64" s="1"/>
      <c r="L64" s="1">
        <f t="shared" ref="L64:L66" si="48">+D64-H64</f>
        <v>-48</v>
      </c>
      <c r="M64" s="1"/>
      <c r="N64" s="5">
        <f t="shared" ref="N64:N66" si="49">IF(H64=0,0,L64/H64)</f>
        <v>-0.4</v>
      </c>
      <c r="O64" s="13"/>
      <c r="P64" s="1">
        <f>SUM(OSRRefP22_9x_0)</f>
        <v>1074.5</v>
      </c>
      <c r="Q64" s="1"/>
      <c r="R64" s="5">
        <f t="shared" ref="R64:R66" si="50">IF(P$12=0,0,P64/P$12)</f>
        <v>0</v>
      </c>
      <c r="S64" s="1"/>
      <c r="T64" s="1">
        <f>SUM(OSRRefT22_9x_0)</f>
        <v>1200</v>
      </c>
      <c r="U64" s="1"/>
      <c r="V64" s="5">
        <f t="shared" ref="V64:V66" si="51">IF(T$12=0,0,T64/T$12)</f>
        <v>6.2946526925376891E-3</v>
      </c>
      <c r="W64" s="1"/>
      <c r="X64" s="1">
        <f t="shared" ref="X64:X66" si="52">+P64-T64</f>
        <v>-125.5</v>
      </c>
      <c r="Y64" s="1"/>
      <c r="Z64" s="5">
        <f t="shared" ref="Z64:Z66" si="53">IF(T64=0,0,X64/T64)</f>
        <v>-0.10458333333333333</v>
      </c>
    </row>
    <row r="65" spans="1:26" s="24" customFormat="1" hidden="1" outlineLevel="2" x14ac:dyDescent="0.25">
      <c r="A65" s="26"/>
      <c r="B65" s="11" t="str">
        <f>CONCATENATE("          ", "6303", " - ", "DATA PHONE LINES")</f>
        <v xml:space="preserve">          6303 - DATA PHONE LINES</v>
      </c>
      <c r="C65" s="11"/>
      <c r="D65" s="7"/>
      <c r="E65" s="2"/>
      <c r="F65" s="6">
        <f t="shared" si="46"/>
        <v>0</v>
      </c>
      <c r="G65" s="2"/>
      <c r="H65" s="7">
        <v>120</v>
      </c>
      <c r="I65" s="2"/>
      <c r="J65" s="6">
        <f t="shared" si="47"/>
        <v>3.4639032416361169E-3</v>
      </c>
      <c r="K65" s="2"/>
      <c r="L65" s="7">
        <f t="shared" si="48"/>
        <v>-120</v>
      </c>
      <c r="M65" s="2"/>
      <c r="N65" s="6">
        <f t="shared" si="49"/>
        <v>-1</v>
      </c>
      <c r="O65" s="11"/>
      <c r="P65" s="7"/>
      <c r="Q65" s="2"/>
      <c r="R65" s="6">
        <f t="shared" si="50"/>
        <v>0</v>
      </c>
      <c r="S65" s="2"/>
      <c r="T65" s="7">
        <v>1200</v>
      </c>
      <c r="U65" s="2"/>
      <c r="V65" s="6">
        <f t="shared" si="51"/>
        <v>6.2946526925376891E-3</v>
      </c>
      <c r="W65" s="2"/>
      <c r="X65" s="7">
        <f t="shared" si="52"/>
        <v>-1200</v>
      </c>
      <c r="Y65" s="2"/>
      <c r="Z65" s="6">
        <f t="shared" si="53"/>
        <v>-1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7">
        <v>72</v>
      </c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72</v>
      </c>
      <c r="M66" s="2"/>
      <c r="N66" s="6">
        <f t="shared" si="49"/>
        <v>0</v>
      </c>
      <c r="O66" s="11"/>
      <c r="P66" s="7">
        <v>1074.5</v>
      </c>
      <c r="Q66" s="2"/>
      <c r="R66" s="6">
        <f t="shared" si="50"/>
        <v>0</v>
      </c>
      <c r="S66" s="2"/>
      <c r="T66" s="7"/>
      <c r="U66" s="2"/>
      <c r="V66" s="6">
        <f t="shared" si="51"/>
        <v>0</v>
      </c>
      <c r="W66" s="2"/>
      <c r="X66" s="7">
        <f t="shared" si="52"/>
        <v>1074.5</v>
      </c>
      <c r="Y66" s="2"/>
      <c r="Z66" s="6">
        <f t="shared" si="53"/>
        <v>0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SUM(OSRRefD22_10x_0)</f>
        <v>0</v>
      </c>
      <c r="E67" s="1"/>
      <c r="F67" s="5">
        <f t="shared" ref="F67:F70" si="54">IF(D$12=0,0,D67/D$12)</f>
        <v>0</v>
      </c>
      <c r="G67" s="1"/>
      <c r="H67" s="1">
        <f>SUM(OSRRefH22_10x_0)</f>
        <v>0</v>
      </c>
      <c r="I67" s="1"/>
      <c r="J67" s="5">
        <f t="shared" ref="J67:J70" si="55">IF(H$12=0,0,H67/H$12)</f>
        <v>0</v>
      </c>
      <c r="K67" s="1"/>
      <c r="L67" s="1">
        <f t="shared" ref="L67:L70" si="56">+D67-H67</f>
        <v>0</v>
      </c>
      <c r="M67" s="1"/>
      <c r="N67" s="5">
        <f t="shared" ref="N67:N70" si="57">IF(H67=0,0,L67/H67)</f>
        <v>0</v>
      </c>
      <c r="O67" s="13"/>
      <c r="P67" s="1">
        <f>SUM(OSRRefP22_10x_0)</f>
        <v>0</v>
      </c>
      <c r="Q67" s="1"/>
      <c r="R67" s="5">
        <f t="shared" ref="R67:R70" si="58">IF(P$12=0,0,P67/P$12)</f>
        <v>0</v>
      </c>
      <c r="S67" s="1"/>
      <c r="T67" s="1">
        <f>SUM(OSRRefT22_10x_0)</f>
        <v>120</v>
      </c>
      <c r="U67" s="1"/>
      <c r="V67" s="5">
        <f t="shared" ref="V67:V70" si="59">IF(T$12=0,0,T67/T$12)</f>
        <v>6.2946526925376897E-4</v>
      </c>
      <c r="W67" s="1"/>
      <c r="X67" s="1">
        <f t="shared" ref="X67:X70" si="60">+P67-T67</f>
        <v>-120</v>
      </c>
      <c r="Y67" s="1"/>
      <c r="Z67" s="5">
        <f t="shared" ref="Z67:Z70" si="61">IF(T67=0,0,X67/T67)</f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120</v>
      </c>
      <c r="U68" s="2"/>
      <c r="V68" s="6">
        <f t="shared" si="59"/>
        <v>6.2946526925376897E-4</v>
      </c>
      <c r="W68" s="2"/>
      <c r="X68" s="7">
        <f t="shared" si="60"/>
        <v>-120</v>
      </c>
      <c r="Y68" s="2"/>
      <c r="Z68" s="6">
        <f t="shared" si="61"/>
        <v>-1</v>
      </c>
    </row>
    <row r="69" spans="1:26" s="25" customFormat="1" outlineLevel="1" collapsed="1" x14ac:dyDescent="0.25">
      <c r="A69" s="27"/>
      <c r="B69" s="13" t="str">
        <f>CONCATENATE("     ","Travel                                            ")</f>
        <v xml:space="preserve">     Travel                                            </v>
      </c>
      <c r="C69" s="13"/>
      <c r="D69" s="1">
        <f>SUM(OSRRefD22_11x_0)</f>
        <v>0</v>
      </c>
      <c r="E69" s="1"/>
      <c r="F69" s="5">
        <f t="shared" si="54"/>
        <v>0</v>
      </c>
      <c r="G69" s="1"/>
      <c r="H69" s="1">
        <f>SUM(OSRRefH22_11x_0)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3"/>
      <c r="P69" s="1">
        <f>SUM(OSRRefP22_11x_0)</f>
        <v>0</v>
      </c>
      <c r="Q69" s="1"/>
      <c r="R69" s="5">
        <f t="shared" si="58"/>
        <v>0</v>
      </c>
      <c r="S69" s="1"/>
      <c r="T69" s="1">
        <f>SUM(OSRRefT22_11x_0)</f>
        <v>0</v>
      </c>
      <c r="U69" s="1"/>
      <c r="V69" s="5">
        <f t="shared" si="59"/>
        <v>0</v>
      </c>
      <c r="W69" s="1"/>
      <c r="X69" s="1">
        <f t="shared" si="60"/>
        <v>0</v>
      </c>
      <c r="Y69" s="1"/>
      <c r="Z69" s="5">
        <f t="shared" si="61"/>
        <v>0</v>
      </c>
    </row>
    <row r="70" spans="1:26" s="24" customFormat="1" hidden="1" outlineLevel="2" x14ac:dyDescent="0.25">
      <c r="A70" s="26"/>
      <c r="B70" s="11" t="str">
        <f>CONCATENATE("          ", "6292", " - ", "TRAVEL/CONFERENCE")</f>
        <v xml:space="preserve">          6292 - TRAVEL/CONFERENCE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61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277</v>
      </c>
      <c r="C74" s="28"/>
      <c r="D74" s="21">
        <f>+D23-D25+D72</f>
        <v>-102.28</v>
      </c>
      <c r="E74" s="14"/>
      <c r="F74" s="20">
        <f>IF(D$12=0,0,D74/D$12)</f>
        <v>0</v>
      </c>
      <c r="G74" s="14"/>
      <c r="H74" s="21">
        <f>+H23-H25+H72</f>
        <v>-6525.0428720000018</v>
      </c>
      <c r="I74" s="14"/>
      <c r="J74" s="20">
        <f>IF(H$12=0,0,H74/H$12)</f>
        <v>-0.18835097630112871</v>
      </c>
      <c r="K74" s="16"/>
      <c r="L74" s="21">
        <f>+D74-H74</f>
        <v>6422.7628720000021</v>
      </c>
      <c r="M74" s="16"/>
      <c r="N74" s="20">
        <f>IF(H74=0,0,L74/H74)</f>
        <v>-0.98432500720586835</v>
      </c>
      <c r="O74" s="29"/>
      <c r="P74" s="21">
        <f>+P23-P25+P72</f>
        <v>-46137.37</v>
      </c>
      <c r="Q74" s="14"/>
      <c r="R74" s="20">
        <f>IF(P$12=0,0,P74/P$12)</f>
        <v>0</v>
      </c>
      <c r="S74" s="14"/>
      <c r="T74" s="21">
        <f>+T23-T25+T72</f>
        <v>-71414.401312200003</v>
      </c>
      <c r="U74" s="14"/>
      <c r="V74" s="20">
        <f>IF(T$12=0,0,T74/T$12)</f>
        <v>-0.37460737792150572</v>
      </c>
      <c r="W74" s="16"/>
      <c r="X74" s="21">
        <f>+P74-T74</f>
        <v>25277.031312200001</v>
      </c>
      <c r="Y74" s="16"/>
      <c r="Z74" s="20">
        <f>IF(T74=0,0,X74/T74)</f>
        <v>-0.3539486552816879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>
        <v>6947</v>
      </c>
      <c r="I76" s="4"/>
      <c r="J76" s="12">
        <f>IF(H$12=0,0,H76/H$12)</f>
        <v>0.20053113183038421</v>
      </c>
      <c r="K76" s="4"/>
      <c r="L76" s="4">
        <f>+D76-H76</f>
        <v>-6947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34534</v>
      </c>
      <c r="U76" s="4"/>
      <c r="V76" s="12">
        <f>IF(T$12=0,0,T76/T$12)</f>
        <v>0.18114961340341379</v>
      </c>
      <c r="W76" s="4"/>
      <c r="X76" s="4">
        <f>+P76-T76</f>
        <v>-34534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126</v>
      </c>
      <c r="C78" s="28"/>
      <c r="D78" s="31">
        <f>+D74-D76</f>
        <v>-102.28</v>
      </c>
      <c r="E78" s="14"/>
      <c r="F78" s="33">
        <f>IF(D$12=0,0,D78/D$12)</f>
        <v>0</v>
      </c>
      <c r="G78" s="14"/>
      <c r="H78" s="31">
        <f>+H74-H76</f>
        <v>-13472.042872000002</v>
      </c>
      <c r="I78" s="14"/>
      <c r="J78" s="33">
        <f>IF(H$12=0,0,H78/H$12)</f>
        <v>-0.38888210813151292</v>
      </c>
      <c r="K78" s="16"/>
      <c r="L78" s="31">
        <f>D78-H78</f>
        <v>13369.762872000001</v>
      </c>
      <c r="M78" s="16"/>
      <c r="N78" s="33">
        <f>IF(H78=0,0,L78/H78)</f>
        <v>-0.99240798140476694</v>
      </c>
      <c r="O78" s="29"/>
      <c r="P78" s="31">
        <f>+P74-P76</f>
        <v>-46137.37</v>
      </c>
      <c r="Q78" s="14"/>
      <c r="R78" s="33">
        <f>IF(P$12=0,0,P78/P$12)</f>
        <v>0</v>
      </c>
      <c r="S78" s="14"/>
      <c r="T78" s="31">
        <f>+T74-T76</f>
        <v>-105948.4013122</v>
      </c>
      <c r="U78" s="14"/>
      <c r="V78" s="33">
        <f>IF(T$12=0,0,T78/T$12)</f>
        <v>-0.55575699132491951</v>
      </c>
      <c r="W78" s="16"/>
      <c r="X78" s="31">
        <f>P78-T78</f>
        <v>59811.031312200001</v>
      </c>
      <c r="Y78" s="16"/>
      <c r="Z78" s="33">
        <f>IF(T78=0,0,X78/T78)</f>
        <v>-0.56452981424376369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294</v>
      </c>
      <c r="C81" s="28"/>
      <c r="D81" s="34">
        <f>SUM(D78:D80)</f>
        <v>-102.28</v>
      </c>
      <c r="E81" s="14"/>
      <c r="F81" s="35">
        <f>IF(D$12=0,0,D81/D$12)</f>
        <v>0</v>
      </c>
      <c r="G81" s="14"/>
      <c r="H81" s="34">
        <f>SUM(H78:H80)</f>
        <v>-13472.042872000002</v>
      </c>
      <c r="I81" s="14"/>
      <c r="J81" s="35">
        <f>IF(H$12=0,0,H81/H$12)</f>
        <v>-0.38888210813151292</v>
      </c>
      <c r="K81" s="16"/>
      <c r="L81" s="34">
        <f>+D81-H81</f>
        <v>13369.762872000001</v>
      </c>
      <c r="M81" s="16"/>
      <c r="N81" s="35">
        <f>IF(H81=0,0,L81/H81)</f>
        <v>-0.99240798140476694</v>
      </c>
      <c r="O81" s="29"/>
      <c r="P81" s="34">
        <f>SUM(P78:P80)</f>
        <v>-46137.37</v>
      </c>
      <c r="Q81" s="14"/>
      <c r="R81" s="35">
        <f>IF(P$12=0,0,P81/P$12)</f>
        <v>0</v>
      </c>
      <c r="S81" s="14"/>
      <c r="T81" s="34">
        <f>SUM(T78:T80)</f>
        <v>-105948.4013122</v>
      </c>
      <c r="U81" s="14"/>
      <c r="V81" s="35">
        <f>IF(T$12=0,0,T81/T$12)</f>
        <v>-0.55575699132491951</v>
      </c>
      <c r="W81" s="16"/>
      <c r="X81" s="34">
        <f>+P81-T81</f>
        <v>59811.031312200001</v>
      </c>
      <c r="Y81" s="16"/>
      <c r="Z81" s="35">
        <f>IF(T81=0,0,X81/T81)</f>
        <v>-0.56452981424376369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62">
        <v>44330.0058283912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6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5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1"/>
  <sheetViews>
    <sheetView zoomScale="80" workbookViewId="0">
      <pane xSplit="3" ySplit="10" topLeftCell="D8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","321", " - ", "Corner Market")</f>
        <v>Department 321 - Corner Market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17424</v>
      </c>
      <c r="I12" s="4"/>
      <c r="J12" s="12"/>
      <c r="K12" s="4"/>
      <c r="L12" s="4">
        <f t="shared" ref="L12:L15" si="0">+D12-H12</f>
        <v>-17424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106532</v>
      </c>
      <c r="U12" s="4"/>
      <c r="V12" s="12"/>
      <c r="W12" s="4"/>
      <c r="X12" s="4">
        <f t="shared" ref="X12:X15" si="2">+P12-T12</f>
        <v>-104055.53</v>
      </c>
      <c r="Y12" s="4"/>
      <c r="Z12" s="12">
        <f t="shared" ref="Z12:Z15" si="3">IF(T12=0,0,X12/T12)</f>
        <v>-0.97675374535350878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--444.59</f>
        <v>444.59</v>
      </c>
      <c r="Q13" s="2"/>
      <c r="R13" s="19"/>
      <c r="S13" s="2"/>
      <c r="T13" s="2"/>
      <c r="U13" s="2"/>
      <c r="V13" s="19"/>
      <c r="W13" s="2"/>
      <c r="X13" s="2">
        <f t="shared" si="2"/>
        <v>444.59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17424</v>
      </c>
      <c r="I14" s="2"/>
      <c r="J14" s="19"/>
      <c r="K14" s="2"/>
      <c r="L14" s="2">
        <f t="shared" si="0"/>
        <v>-17424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106532</v>
      </c>
      <c r="U14" s="2"/>
      <c r="V14" s="19"/>
      <c r="W14" s="2"/>
      <c r="X14" s="2">
        <f t="shared" si="2"/>
        <v>-106532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--2031.88</f>
        <v>2031.88</v>
      </c>
      <c r="Q15" s="2"/>
      <c r="R15" s="19"/>
      <c r="S15" s="2"/>
      <c r="T15" s="2"/>
      <c r="U15" s="2"/>
      <c r="V15" s="19"/>
      <c r="W15" s="2"/>
      <c r="X15" s="2">
        <f t="shared" si="2"/>
        <v>2031.88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257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9060</v>
      </c>
      <c r="I17" s="4"/>
      <c r="J17" s="12">
        <f t="shared" ref="J17:J20" si="6">IF(H$12=0,0,H17/H$12)</f>
        <v>0.51997245179063356</v>
      </c>
      <c r="K17" s="4"/>
      <c r="L17" s="4">
        <f t="shared" ref="L17:L20" si="7">+D17-H17</f>
        <v>-9060</v>
      </c>
      <c r="M17" s="4"/>
      <c r="N17" s="12">
        <f t="shared" ref="N17:N20" si="8">IF(H17=0,0,L17/H17)</f>
        <v>-1</v>
      </c>
      <c r="O17" s="10"/>
      <c r="P17" s="4">
        <f>SUM(OSRRefP16x_0)</f>
        <v>19579.73</v>
      </c>
      <c r="Q17" s="4"/>
      <c r="R17" s="12">
        <f t="shared" ref="R17:R20" si="9">IF(P$12=0,0,P17/P$12)</f>
        <v>7.9063061535169004</v>
      </c>
      <c r="S17" s="4"/>
      <c r="T17" s="4">
        <f>SUM(OSRRefT16x_0)</f>
        <v>55811</v>
      </c>
      <c r="U17" s="4"/>
      <c r="V17" s="12">
        <f t="shared" ref="V17:V20" si="10">IF(T$12=0,0,T17/T$12)</f>
        <v>0.5238895355386175</v>
      </c>
      <c r="W17" s="4"/>
      <c r="X17" s="4">
        <f t="shared" ref="X17:X20" si="11">+P17-T17</f>
        <v>-36231.270000000004</v>
      </c>
      <c r="Y17" s="4"/>
      <c r="Z17" s="12">
        <f t="shared" ref="Z17:Z20" si="12">IF(T17=0,0,X17/T17)</f>
        <v>-0.6491779398326496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9060</v>
      </c>
      <c r="I18" s="2"/>
      <c r="J18" s="19">
        <f t="shared" si="6"/>
        <v>0.51997245179063356</v>
      </c>
      <c r="K18" s="2"/>
      <c r="L18" s="2">
        <f t="shared" si="7"/>
        <v>-9060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55811</v>
      </c>
      <c r="U18" s="2"/>
      <c r="V18" s="19">
        <f t="shared" si="10"/>
        <v>0.5238895355386175</v>
      </c>
      <c r="W18" s="2"/>
      <c r="X18" s="2">
        <f t="shared" si="11"/>
        <v>-55811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0.73</v>
      </c>
      <c r="Q19" s="2"/>
      <c r="R19" s="19">
        <f t="shared" si="9"/>
        <v>2.9477441681102534E-4</v>
      </c>
      <c r="S19" s="2"/>
      <c r="T19" s="2"/>
      <c r="U19" s="2"/>
      <c r="V19" s="19">
        <f t="shared" si="10"/>
        <v>0</v>
      </c>
      <c r="W19" s="2"/>
      <c r="X19" s="2">
        <f t="shared" si="11"/>
        <v>0.73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19579</v>
      </c>
      <c r="Q20" s="2"/>
      <c r="R20" s="19">
        <f t="shared" si="9"/>
        <v>7.9060113791000894</v>
      </c>
      <c r="S20" s="2"/>
      <c r="T20" s="2"/>
      <c r="U20" s="2"/>
      <c r="V20" s="19">
        <f t="shared" si="10"/>
        <v>0</v>
      </c>
      <c r="W20" s="2"/>
      <c r="X20" s="2">
        <f t="shared" si="11"/>
        <v>19579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108</v>
      </c>
      <c r="C22" s="28"/>
      <c r="D22" s="21">
        <f>D12-D17</f>
        <v>0</v>
      </c>
      <c r="E22" s="14"/>
      <c r="F22" s="20">
        <f>IF(D$12=0,0,D22/D$12)</f>
        <v>0</v>
      </c>
      <c r="G22" s="14"/>
      <c r="H22" s="21">
        <f>H12-H17</f>
        <v>8364</v>
      </c>
      <c r="I22" s="14"/>
      <c r="J22" s="20">
        <f>IF(H$12=0,0,H22/H$12)</f>
        <v>0.48002754820936638</v>
      </c>
      <c r="K22" s="16"/>
      <c r="L22" s="21">
        <f>+D22-H22</f>
        <v>-8364</v>
      </c>
      <c r="M22" s="16"/>
      <c r="N22" s="20">
        <f>IF(H22=0,0,L22/H22)</f>
        <v>-1</v>
      </c>
      <c r="O22" s="29"/>
      <c r="P22" s="21">
        <f>P12-P17</f>
        <v>-17103.259999999998</v>
      </c>
      <c r="Q22" s="14"/>
      <c r="R22" s="20">
        <f>IF(P$12=0,0,P22/P$12)</f>
        <v>-6.9063061535168995</v>
      </c>
      <c r="S22" s="14"/>
      <c r="T22" s="21">
        <f>T12-T17</f>
        <v>50721</v>
      </c>
      <c r="U22" s="14"/>
      <c r="V22" s="20">
        <f>IF(T$12=0,0,T22/T$12)</f>
        <v>0.4761104644613825</v>
      </c>
      <c r="W22" s="16"/>
      <c r="X22" s="21">
        <f>+P22-T22</f>
        <v>-67824.259999999995</v>
      </c>
      <c r="Y22" s="16"/>
      <c r="Z22" s="20">
        <f>IF(T22=0,0,X22/T22)</f>
        <v>-1.3372027365391059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295</v>
      </c>
      <c r="C24" s="10"/>
      <c r="D24" s="22">
        <f>SUM(OSRRefD22x_0)</f>
        <v>1401.82</v>
      </c>
      <c r="E24" s="22"/>
      <c r="F24" s="32">
        <f t="shared" ref="F24:F34" si="13">IF(D$12=0,0,D24/D$12)</f>
        <v>0</v>
      </c>
      <c r="G24" s="22"/>
      <c r="H24" s="22">
        <f>SUM(OSRRefH22x_0)</f>
        <v>15250.108152500001</v>
      </c>
      <c r="I24" s="22"/>
      <c r="J24" s="32">
        <f t="shared" ref="J24:J34" si="14">IF(H$12=0,0,H24/H$12)</f>
        <v>0.87523577551078979</v>
      </c>
      <c r="K24" s="4"/>
      <c r="L24" s="22">
        <f t="shared" ref="L24:L34" si="15">+D24-H24</f>
        <v>-13848.288152500001</v>
      </c>
      <c r="M24" s="4"/>
      <c r="N24" s="32">
        <f t="shared" ref="N24:N34" si="16">IF(H24=0,0,L24/H24)</f>
        <v>-0.90807802895678513</v>
      </c>
      <c r="O24" s="10"/>
      <c r="P24" s="22">
        <f>SUM(OSRRefP22x_0)</f>
        <v>41057.679999999986</v>
      </c>
      <c r="Q24" s="22"/>
      <c r="R24" s="32">
        <f t="shared" ref="R24:R34" si="17">IF(P$12=0,0,P24/P$12)</f>
        <v>16.579114626868076</v>
      </c>
      <c r="S24" s="22"/>
      <c r="T24" s="22">
        <f>SUM(OSRRefT22x_0)</f>
        <v>93978.900157299999</v>
      </c>
      <c r="U24" s="22"/>
      <c r="V24" s="32">
        <f t="shared" ref="V24:V34" si="18">IF(T$12=0,0,T24/T$12)</f>
        <v>0.88216592345304701</v>
      </c>
      <c r="W24" s="4"/>
      <c r="X24" s="22">
        <f t="shared" ref="X24:X34" si="19">+P24-T24</f>
        <v>-52921.220157300013</v>
      </c>
      <c r="Y24" s="4"/>
      <c r="Z24" s="32">
        <f t="shared" ref="Z24:Z34" si="20">IF(T24=0,0,X24/T24)</f>
        <v>-0.56311810490143566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749.85815249999996</v>
      </c>
      <c r="I25" s="1"/>
      <c r="J25" s="5">
        <f t="shared" si="14"/>
        <v>4.3035936208677683E-2</v>
      </c>
      <c r="K25" s="1"/>
      <c r="L25" s="1">
        <f t="shared" si="15"/>
        <v>-749.85815249999996</v>
      </c>
      <c r="M25" s="1"/>
      <c r="N25" s="5">
        <f t="shared" si="16"/>
        <v>-1</v>
      </c>
      <c r="O25" s="13"/>
      <c r="P25" s="1">
        <f>SUM(OSRRefP22_0x_0)</f>
        <v>8751.99</v>
      </c>
      <c r="Q25" s="1"/>
      <c r="R25" s="5">
        <f t="shared" si="17"/>
        <v>3.5340585591588023</v>
      </c>
      <c r="S25" s="1"/>
      <c r="T25" s="1">
        <f>SUM(OSRRefT22_0x_0)</f>
        <v>4261.4101572999998</v>
      </c>
      <c r="U25" s="1"/>
      <c r="V25" s="5">
        <f t="shared" si="18"/>
        <v>4.0001221767168547E-2</v>
      </c>
      <c r="W25" s="1"/>
      <c r="X25" s="1">
        <f t="shared" si="19"/>
        <v>4490.5798427</v>
      </c>
      <c r="Y25" s="1"/>
      <c r="Z25" s="5">
        <f t="shared" si="20"/>
        <v>1.0537778990852176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262.24917749999997</v>
      </c>
      <c r="I26" s="2"/>
      <c r="J26" s="6">
        <f t="shared" si="14"/>
        <v>1.5051031766528925E-2</v>
      </c>
      <c r="K26" s="2"/>
      <c r="L26" s="7">
        <f t="shared" si="15"/>
        <v>-262.24917749999997</v>
      </c>
      <c r="M26" s="2"/>
      <c r="N26" s="6">
        <f t="shared" si="16"/>
        <v>-1</v>
      </c>
      <c r="O26" s="11"/>
      <c r="P26" s="7">
        <v>1667.09</v>
      </c>
      <c r="Q26" s="2"/>
      <c r="R26" s="6">
        <f t="shared" si="17"/>
        <v>0.67317189386505782</v>
      </c>
      <c r="S26" s="2"/>
      <c r="T26" s="7">
        <v>1698.2091183</v>
      </c>
      <c r="U26" s="2"/>
      <c r="V26" s="6">
        <f t="shared" si="18"/>
        <v>1.5940835789246422E-2</v>
      </c>
      <c r="W26" s="2"/>
      <c r="X26" s="7">
        <f t="shared" si="19"/>
        <v>-31.119118300000082</v>
      </c>
      <c r="Y26" s="2"/>
      <c r="Z26" s="6">
        <f t="shared" si="20"/>
        <v>-1.8324668007407719E-2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176.53162499999999</v>
      </c>
      <c r="I27" s="2"/>
      <c r="J27" s="6">
        <f t="shared" si="14"/>
        <v>1.013152117768595E-2</v>
      </c>
      <c r="K27" s="2"/>
      <c r="L27" s="7">
        <f t="shared" si="15"/>
        <v>-176.53162499999999</v>
      </c>
      <c r="M27" s="2"/>
      <c r="N27" s="6">
        <f t="shared" si="16"/>
        <v>-1</v>
      </c>
      <c r="O27" s="11"/>
      <c r="P27" s="7">
        <v>331.61</v>
      </c>
      <c r="Q27" s="2"/>
      <c r="R27" s="6">
        <f t="shared" si="17"/>
        <v>0.13390430734069056</v>
      </c>
      <c r="S27" s="2"/>
      <c r="T27" s="7">
        <v>927.969065</v>
      </c>
      <c r="U27" s="2"/>
      <c r="V27" s="6">
        <f t="shared" si="18"/>
        <v>8.7107072522810049E-3</v>
      </c>
      <c r="W27" s="2"/>
      <c r="X27" s="7">
        <f t="shared" si="19"/>
        <v>-596.35906499999999</v>
      </c>
      <c r="Y27" s="2"/>
      <c r="Z27" s="6">
        <f t="shared" si="20"/>
        <v>-0.6426497256134287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3385.22</v>
      </c>
      <c r="Q28" s="2"/>
      <c r="R28" s="6">
        <f t="shared" si="17"/>
        <v>1.366953768872629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3385.22</v>
      </c>
      <c r="Y28" s="2"/>
      <c r="Z28" s="6">
        <f t="shared" si="20"/>
        <v>0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24.809850000000001</v>
      </c>
      <c r="I29" s="2"/>
      <c r="J29" s="6">
        <f t="shared" si="14"/>
        <v>1.4238894628099174E-3</v>
      </c>
      <c r="K29" s="2"/>
      <c r="L29" s="7">
        <f t="shared" si="15"/>
        <v>-24.809850000000001</v>
      </c>
      <c r="M29" s="2"/>
      <c r="N29" s="6">
        <f t="shared" si="16"/>
        <v>-1</v>
      </c>
      <c r="O29" s="11"/>
      <c r="P29" s="7">
        <v>62.01</v>
      </c>
      <c r="Q29" s="2"/>
      <c r="R29" s="6">
        <f t="shared" si="17"/>
        <v>2.5039673406098192E-2</v>
      </c>
      <c r="S29" s="2"/>
      <c r="T29" s="7">
        <v>130.41727399999999</v>
      </c>
      <c r="U29" s="2"/>
      <c r="V29" s="6">
        <f t="shared" si="18"/>
        <v>1.224207505725979E-3</v>
      </c>
      <c r="W29" s="2"/>
      <c r="X29" s="7">
        <f t="shared" si="19"/>
        <v>-68.407274000000001</v>
      </c>
      <c r="Y29" s="2"/>
      <c r="Z29" s="6">
        <f t="shared" si="20"/>
        <v>-0.52452617588065831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1254.1099999999999</v>
      </c>
      <c r="Q30" s="2"/>
      <c r="R30" s="6">
        <f t="shared" si="17"/>
        <v>0.50641033406421232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1254.1099999999999</v>
      </c>
      <c r="Y30" s="2"/>
      <c r="Z30" s="6">
        <f t="shared" si="20"/>
        <v>0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>
        <v>958.88</v>
      </c>
      <c r="Q32" s="2"/>
      <c r="R32" s="6">
        <f t="shared" si="17"/>
        <v>0.38719629149555612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958.88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286.26749999999998</v>
      </c>
      <c r="I33" s="2"/>
      <c r="J33" s="6">
        <f t="shared" si="14"/>
        <v>1.6429493801652893E-2</v>
      </c>
      <c r="K33" s="2"/>
      <c r="L33" s="7">
        <f t="shared" si="15"/>
        <v>-286.26749999999998</v>
      </c>
      <c r="M33" s="2"/>
      <c r="N33" s="6">
        <f t="shared" si="16"/>
        <v>-1</v>
      </c>
      <c r="O33" s="11"/>
      <c r="P33" s="7">
        <v>767.52</v>
      </c>
      <c r="Q33" s="2"/>
      <c r="R33" s="6">
        <f t="shared" si="17"/>
        <v>0.30992501423397006</v>
      </c>
      <c r="S33" s="2"/>
      <c r="T33" s="7">
        <v>1504.8146999999999</v>
      </c>
      <c r="U33" s="2"/>
      <c r="V33" s="6">
        <f t="shared" si="18"/>
        <v>1.4125471219915142E-2</v>
      </c>
      <c r="W33" s="2"/>
      <c r="X33" s="7">
        <f t="shared" si="19"/>
        <v>-737.29469999999992</v>
      </c>
      <c r="Y33" s="2"/>
      <c r="Z33" s="6">
        <f t="shared" si="20"/>
        <v>-0.48995713558619541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3"/>
        <v>0</v>
      </c>
      <c r="G34" s="2"/>
      <c r="H34" s="7"/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>
        <v>325.55</v>
      </c>
      <c r="Q34" s="2"/>
      <c r="R34" s="6">
        <f t="shared" si="17"/>
        <v>0.13145727588058809</v>
      </c>
      <c r="S34" s="2"/>
      <c r="T34" s="7"/>
      <c r="U34" s="2"/>
      <c r="V34" s="6">
        <f t="shared" si="18"/>
        <v>0</v>
      </c>
      <c r="W34" s="2"/>
      <c r="X34" s="7">
        <f t="shared" si="19"/>
        <v>325.55</v>
      </c>
      <c r="Y34" s="2"/>
      <c r="Z34" s="6">
        <f t="shared" si="20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9542.25</v>
      </c>
      <c r="I35" s="1"/>
      <c r="J35" s="5">
        <f t="shared" ref="J35:J45" si="22">IF(H$12=0,0,H35/H$12)</f>
        <v>0.54764979338842978</v>
      </c>
      <c r="K35" s="1"/>
      <c r="L35" s="1">
        <f t="shared" ref="L35:L45" si="23">+D35-H35</f>
        <v>-9542.25</v>
      </c>
      <c r="M35" s="1"/>
      <c r="N35" s="5">
        <f t="shared" ref="N35:N45" si="24">IF(H35=0,0,L35/H35)</f>
        <v>-1</v>
      </c>
      <c r="O35" s="13"/>
      <c r="P35" s="1">
        <f>SUM(OSRRefP22_1x_0)</f>
        <v>15859.96</v>
      </c>
      <c r="Q35" s="1"/>
      <c r="R35" s="5">
        <f t="shared" ref="R35:R45" si="25">IF(P$12=0,0,P35/P$12)</f>
        <v>6.404260903624917</v>
      </c>
      <c r="S35" s="1"/>
      <c r="T35" s="1">
        <f>SUM(OSRRefT22_1x_0)</f>
        <v>50160.49</v>
      </c>
      <c r="U35" s="1"/>
      <c r="V35" s="5">
        <f t="shared" ref="V35:V45" si="26">IF(T$12=0,0,T35/T$12)</f>
        <v>0.47084904066383809</v>
      </c>
      <c r="W35" s="1"/>
      <c r="X35" s="1">
        <f t="shared" ref="X35:X45" si="27">+P35-T35</f>
        <v>-34300.53</v>
      </c>
      <c r="Y35" s="1"/>
      <c r="Z35" s="5">
        <f t="shared" ref="Z35:Z45" si="28">IF(T35=0,0,X35/T35)</f>
        <v>-0.68381568840336293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13728</v>
      </c>
      <c r="Q37" s="2"/>
      <c r="R37" s="6">
        <f t="shared" si="25"/>
        <v>5.5433742383311726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13728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3426.75</v>
      </c>
      <c r="I39" s="2"/>
      <c r="J39" s="6">
        <f t="shared" si="22"/>
        <v>0.19666838842975207</v>
      </c>
      <c r="K39" s="2"/>
      <c r="L39" s="7">
        <f t="shared" si="23"/>
        <v>-3426.75</v>
      </c>
      <c r="M39" s="2"/>
      <c r="N39" s="6">
        <f t="shared" si="24"/>
        <v>-1</v>
      </c>
      <c r="O39" s="11"/>
      <c r="P39" s="7"/>
      <c r="Q39" s="2"/>
      <c r="R39" s="6">
        <f t="shared" si="25"/>
        <v>0</v>
      </c>
      <c r="S39" s="2"/>
      <c r="T39" s="7">
        <v>22190.11</v>
      </c>
      <c r="U39" s="2"/>
      <c r="V39" s="6">
        <f t="shared" si="26"/>
        <v>0.20829525400818533</v>
      </c>
      <c r="W39" s="2"/>
      <c r="X39" s="7">
        <f t="shared" si="27"/>
        <v>-22190.11</v>
      </c>
      <c r="Y39" s="2"/>
      <c r="Z39" s="6">
        <f t="shared" si="28"/>
        <v>-1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3078</v>
      </c>
      <c r="I40" s="2"/>
      <c r="J40" s="6">
        <f t="shared" si="22"/>
        <v>0.17665289256198347</v>
      </c>
      <c r="K40" s="2"/>
      <c r="L40" s="7">
        <f t="shared" si="23"/>
        <v>-3078</v>
      </c>
      <c r="M40" s="2"/>
      <c r="N40" s="6">
        <f t="shared" si="24"/>
        <v>-1</v>
      </c>
      <c r="O40" s="11"/>
      <c r="P40" s="7">
        <v>2131.96</v>
      </c>
      <c r="Q40" s="2"/>
      <c r="R40" s="6">
        <f t="shared" si="25"/>
        <v>0.86088666529374469</v>
      </c>
      <c r="S40" s="2"/>
      <c r="T40" s="7">
        <v>9110.8799999999992</v>
      </c>
      <c r="U40" s="2"/>
      <c r="V40" s="6">
        <f t="shared" si="26"/>
        <v>8.5522472121052823E-2</v>
      </c>
      <c r="W40" s="2"/>
      <c r="X40" s="7">
        <f t="shared" si="27"/>
        <v>-6978.9199999999992</v>
      </c>
      <c r="Y40" s="2"/>
      <c r="Z40" s="6">
        <f t="shared" si="28"/>
        <v>-0.76599845459494575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0</v>
      </c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3037.5</v>
      </c>
      <c r="I43" s="2"/>
      <c r="J43" s="6">
        <f t="shared" si="22"/>
        <v>0.17432851239669422</v>
      </c>
      <c r="K43" s="2"/>
      <c r="L43" s="7">
        <f t="shared" si="23"/>
        <v>-3037.5</v>
      </c>
      <c r="M43" s="2"/>
      <c r="N43" s="6">
        <f t="shared" si="24"/>
        <v>-1</v>
      </c>
      <c r="O43" s="11"/>
      <c r="P43" s="7"/>
      <c r="Q43" s="2"/>
      <c r="R43" s="6">
        <f t="shared" si="25"/>
        <v>0</v>
      </c>
      <c r="S43" s="2"/>
      <c r="T43" s="7">
        <v>18859.5</v>
      </c>
      <c r="U43" s="2"/>
      <c r="V43" s="6">
        <f t="shared" si="26"/>
        <v>0.17703131453459994</v>
      </c>
      <c r="W43" s="2"/>
      <c r="X43" s="7">
        <f t="shared" si="27"/>
        <v>-18859.5</v>
      </c>
      <c r="Y43" s="2"/>
      <c r="Z43" s="6">
        <f t="shared" si="28"/>
        <v>-1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8" si="29">IF(D$12=0,0,D46/D$12)</f>
        <v>0</v>
      </c>
      <c r="G46" s="1"/>
      <c r="H46" s="1">
        <f>SUM(OSRRefH22_2x_0)</f>
        <v>100</v>
      </c>
      <c r="I46" s="1"/>
      <c r="J46" s="5">
        <f t="shared" ref="J46:J58" si="30">IF(H$12=0,0,H46/H$12)</f>
        <v>5.7392102846648297E-3</v>
      </c>
      <c r="K46" s="1"/>
      <c r="L46" s="1">
        <f t="shared" ref="L46:L58" si="31">+D46-H46</f>
        <v>-100</v>
      </c>
      <c r="M46" s="1"/>
      <c r="N46" s="5">
        <f t="shared" ref="N46:N58" si="32">IF(H46=0,0,L46/H46)</f>
        <v>-1</v>
      </c>
      <c r="O46" s="13"/>
      <c r="P46" s="1">
        <f>SUM(OSRRefP22_2x_0)</f>
        <v>0</v>
      </c>
      <c r="Q46" s="1"/>
      <c r="R46" s="5">
        <f t="shared" ref="R46:R58" si="33">IF(P$12=0,0,P46/P$12)</f>
        <v>0</v>
      </c>
      <c r="S46" s="1"/>
      <c r="T46" s="1">
        <f>SUM(OSRRefT22_2x_0)</f>
        <v>900</v>
      </c>
      <c r="U46" s="1"/>
      <c r="V46" s="5">
        <f t="shared" ref="V46:V58" si="34">IF(T$12=0,0,T46/T$12)</f>
        <v>8.4481658093342842E-3</v>
      </c>
      <c r="W46" s="1"/>
      <c r="X46" s="1">
        <f t="shared" ref="X46:X58" si="35">+P46-T46</f>
        <v>-900</v>
      </c>
      <c r="Y46" s="1"/>
      <c r="Z46" s="5">
        <f t="shared" ref="Z46:Z58" si="36">IF(T46=0,0,X46/T46)</f>
        <v>-1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100</v>
      </c>
      <c r="I47" s="2"/>
      <c r="J47" s="6">
        <f t="shared" si="30"/>
        <v>5.7392102846648297E-3</v>
      </c>
      <c r="K47" s="2"/>
      <c r="L47" s="7">
        <f t="shared" si="31"/>
        <v>-100</v>
      </c>
      <c r="M47" s="2"/>
      <c r="N47" s="6">
        <f t="shared" si="32"/>
        <v>-1</v>
      </c>
      <c r="O47" s="11"/>
      <c r="P47" s="7"/>
      <c r="Q47" s="2"/>
      <c r="R47" s="6">
        <f t="shared" si="33"/>
        <v>0</v>
      </c>
      <c r="S47" s="2"/>
      <c r="T47" s="7">
        <v>900</v>
      </c>
      <c r="U47" s="2"/>
      <c r="V47" s="6">
        <f t="shared" si="34"/>
        <v>8.4481658093342842E-3</v>
      </c>
      <c r="W47" s="2"/>
      <c r="X47" s="7">
        <f t="shared" si="35"/>
        <v>-900</v>
      </c>
      <c r="Y47" s="2"/>
      <c r="Z47" s="6">
        <f t="shared" si="36"/>
        <v>-1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SUM(OSRRefP22_3x_0)</f>
        <v>3.31</v>
      </c>
      <c r="Q48" s="1"/>
      <c r="R48" s="5">
        <f t="shared" si="33"/>
        <v>1.3365798899239642E-3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3.31</v>
      </c>
      <c r="Y48" s="1"/>
      <c r="Z48" s="5">
        <f t="shared" si="36"/>
        <v>0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3.31</v>
      </c>
      <c r="Q49" s="2"/>
      <c r="R49" s="6">
        <f t="shared" si="33"/>
        <v>1.3365798899239642E-3</v>
      </c>
      <c r="S49" s="2"/>
      <c r="T49" s="7"/>
      <c r="U49" s="2"/>
      <c r="V49" s="6">
        <f t="shared" si="34"/>
        <v>0</v>
      </c>
      <c r="W49" s="2"/>
      <c r="X49" s="7">
        <f t="shared" si="35"/>
        <v>3.31</v>
      </c>
      <c r="Y49" s="2"/>
      <c r="Z49" s="6">
        <f t="shared" si="36"/>
        <v>0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224.95</v>
      </c>
      <c r="E50" s="1"/>
      <c r="F50" s="5">
        <f t="shared" si="29"/>
        <v>0</v>
      </c>
      <c r="G50" s="1"/>
      <c r="H50" s="1">
        <f>SUM(OSRRefH22_4x_0)</f>
        <v>1103</v>
      </c>
      <c r="I50" s="1"/>
      <c r="J50" s="5">
        <f t="shared" si="30"/>
        <v>6.3303489439853075E-2</v>
      </c>
      <c r="K50" s="1"/>
      <c r="L50" s="1">
        <f t="shared" si="31"/>
        <v>-878.05</v>
      </c>
      <c r="M50" s="1"/>
      <c r="N50" s="5">
        <f t="shared" si="32"/>
        <v>-0.79605621033544871</v>
      </c>
      <c r="O50" s="13"/>
      <c r="P50" s="1">
        <f>SUM(OSRRefP22_4x_0)</f>
        <v>1573.13</v>
      </c>
      <c r="Q50" s="1"/>
      <c r="R50" s="5">
        <f t="shared" si="33"/>
        <v>0.63523079221634016</v>
      </c>
      <c r="S50" s="1"/>
      <c r="T50" s="1">
        <f>SUM(OSRRefT22_4x_0)</f>
        <v>6748</v>
      </c>
      <c r="U50" s="1"/>
      <c r="V50" s="5">
        <f t="shared" si="34"/>
        <v>6.3342469868208615E-2</v>
      </c>
      <c r="W50" s="1"/>
      <c r="X50" s="1">
        <f t="shared" si="35"/>
        <v>-5174.87</v>
      </c>
      <c r="Y50" s="1"/>
      <c r="Z50" s="5">
        <f t="shared" si="36"/>
        <v>-0.76687462951985774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7">
        <v>224.95</v>
      </c>
      <c r="E51" s="2"/>
      <c r="F51" s="6">
        <f t="shared" si="29"/>
        <v>0</v>
      </c>
      <c r="G51" s="2"/>
      <c r="H51" s="7">
        <v>1103</v>
      </c>
      <c r="I51" s="2"/>
      <c r="J51" s="6">
        <f t="shared" si="30"/>
        <v>6.3303489439853075E-2</v>
      </c>
      <c r="K51" s="2"/>
      <c r="L51" s="7">
        <f t="shared" si="31"/>
        <v>-878.05</v>
      </c>
      <c r="M51" s="2"/>
      <c r="N51" s="6">
        <f t="shared" si="32"/>
        <v>-0.79605621033544871</v>
      </c>
      <c r="O51" s="11"/>
      <c r="P51" s="7">
        <v>1573.13</v>
      </c>
      <c r="Q51" s="2"/>
      <c r="R51" s="6">
        <f t="shared" si="33"/>
        <v>0.63523079221634016</v>
      </c>
      <c r="S51" s="2"/>
      <c r="T51" s="7">
        <v>6748</v>
      </c>
      <c r="U51" s="2"/>
      <c r="V51" s="6">
        <f t="shared" si="34"/>
        <v>6.3342469868208615E-2</v>
      </c>
      <c r="W51" s="2"/>
      <c r="X51" s="7">
        <f t="shared" si="35"/>
        <v>-5174.87</v>
      </c>
      <c r="Y51" s="2"/>
      <c r="Z51" s="6">
        <f t="shared" si="36"/>
        <v>-0.76687462951985774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1075.3699999999999</v>
      </c>
      <c r="E52" s="1"/>
      <c r="F52" s="5">
        <f t="shared" si="29"/>
        <v>0</v>
      </c>
      <c r="G52" s="1"/>
      <c r="H52" s="1">
        <f>SUM(OSRRefH22_5x_0)</f>
        <v>1075</v>
      </c>
      <c r="I52" s="1"/>
      <c r="J52" s="5">
        <f t="shared" si="30"/>
        <v>6.1696510560146925E-2</v>
      </c>
      <c r="K52" s="1"/>
      <c r="L52" s="1">
        <f t="shared" si="31"/>
        <v>0.36999999999989086</v>
      </c>
      <c r="M52" s="1"/>
      <c r="N52" s="5">
        <f t="shared" si="32"/>
        <v>3.4418604651152636E-4</v>
      </c>
      <c r="O52" s="13"/>
      <c r="P52" s="1">
        <f>SUM(OSRRefP22_5x_0)</f>
        <v>10753.7</v>
      </c>
      <c r="Q52" s="1"/>
      <c r="R52" s="5">
        <f t="shared" si="33"/>
        <v>4.3423502000831826</v>
      </c>
      <c r="S52" s="1"/>
      <c r="T52" s="1">
        <f>SUM(OSRRefT22_5x_0)</f>
        <v>10750</v>
      </c>
      <c r="U52" s="1"/>
      <c r="V52" s="5">
        <f t="shared" si="34"/>
        <v>0.10090864716704839</v>
      </c>
      <c r="W52" s="1"/>
      <c r="X52" s="1">
        <f t="shared" si="35"/>
        <v>3.7000000000007276</v>
      </c>
      <c r="Y52" s="1"/>
      <c r="Z52" s="5">
        <f t="shared" si="36"/>
        <v>3.4418604651169561E-4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1075.3699999999999</v>
      </c>
      <c r="E53" s="2"/>
      <c r="F53" s="6">
        <f t="shared" si="29"/>
        <v>0</v>
      </c>
      <c r="G53" s="2"/>
      <c r="H53" s="7">
        <v>1075</v>
      </c>
      <c r="I53" s="2"/>
      <c r="J53" s="6">
        <f t="shared" si="30"/>
        <v>6.1696510560146925E-2</v>
      </c>
      <c r="K53" s="2"/>
      <c r="L53" s="7">
        <f t="shared" si="31"/>
        <v>0.36999999999989086</v>
      </c>
      <c r="M53" s="2"/>
      <c r="N53" s="6">
        <f t="shared" si="32"/>
        <v>3.4418604651152636E-4</v>
      </c>
      <c r="O53" s="11"/>
      <c r="P53" s="7">
        <v>10753.7</v>
      </c>
      <c r="Q53" s="2"/>
      <c r="R53" s="6">
        <f t="shared" si="33"/>
        <v>4.3423502000831826</v>
      </c>
      <c r="S53" s="2"/>
      <c r="T53" s="7">
        <v>10750</v>
      </c>
      <c r="U53" s="2"/>
      <c r="V53" s="6">
        <f t="shared" si="34"/>
        <v>0.10090864716704839</v>
      </c>
      <c r="W53" s="2"/>
      <c r="X53" s="7">
        <f t="shared" si="35"/>
        <v>3.7000000000007276</v>
      </c>
      <c r="Y53" s="2"/>
      <c r="Z53" s="6">
        <f t="shared" si="36"/>
        <v>3.4418604651169561E-4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3"/>
      <c r="P54" s="1">
        <f>SUM(OSRRefP22_6x_0)</f>
        <v>1785.31</v>
      </c>
      <c r="Q54" s="1"/>
      <c r="R54" s="5">
        <f t="shared" si="33"/>
        <v>0.72090919736560499</v>
      </c>
      <c r="S54" s="1"/>
      <c r="T54" s="1">
        <f>SUM(OSRRefT22_6x_0)</f>
        <v>1000</v>
      </c>
      <c r="U54" s="1"/>
      <c r="V54" s="5">
        <f t="shared" si="34"/>
        <v>9.3868508992603159E-3</v>
      </c>
      <c r="W54" s="1"/>
      <c r="X54" s="1">
        <f t="shared" si="35"/>
        <v>785.31</v>
      </c>
      <c r="Y54" s="1"/>
      <c r="Z54" s="5">
        <f t="shared" si="36"/>
        <v>0.78530999999999995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0</v>
      </c>
      <c r="M55" s="2"/>
      <c r="N55" s="6">
        <f t="shared" si="32"/>
        <v>0</v>
      </c>
      <c r="O55" s="11"/>
      <c r="P55" s="7">
        <v>1785.31</v>
      </c>
      <c r="Q55" s="2"/>
      <c r="R55" s="6">
        <f t="shared" si="33"/>
        <v>0.72090919736560499</v>
      </c>
      <c r="S55" s="2"/>
      <c r="T55" s="7">
        <v>1000</v>
      </c>
      <c r="U55" s="2"/>
      <c r="V55" s="6">
        <f t="shared" si="34"/>
        <v>9.3868508992603159E-3</v>
      </c>
      <c r="W55" s="2"/>
      <c r="X55" s="7">
        <f t="shared" si="35"/>
        <v>785.31</v>
      </c>
      <c r="Y55" s="2"/>
      <c r="Z55" s="6">
        <f t="shared" si="36"/>
        <v>0.78530999999999995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250</v>
      </c>
      <c r="I56" s="1"/>
      <c r="J56" s="5">
        <f t="shared" si="30"/>
        <v>1.4348025711662075E-2</v>
      </c>
      <c r="K56" s="1"/>
      <c r="L56" s="1">
        <f t="shared" si="31"/>
        <v>-250</v>
      </c>
      <c r="M56" s="1"/>
      <c r="N56" s="5">
        <f t="shared" si="32"/>
        <v>-1</v>
      </c>
      <c r="O56" s="13"/>
      <c r="P56" s="1">
        <f>SUM(OSRRefP22_7x_0)</f>
        <v>540.85</v>
      </c>
      <c r="Q56" s="1"/>
      <c r="R56" s="5">
        <f t="shared" si="33"/>
        <v>0.21839553881129187</v>
      </c>
      <c r="S56" s="1"/>
      <c r="T56" s="1">
        <f>SUM(OSRRefT22_7x_0)</f>
        <v>2250</v>
      </c>
      <c r="U56" s="1"/>
      <c r="V56" s="5">
        <f t="shared" si="34"/>
        <v>2.1120414523335712E-2</v>
      </c>
      <c r="W56" s="1"/>
      <c r="X56" s="1">
        <f t="shared" si="35"/>
        <v>-1709.15</v>
      </c>
      <c r="Y56" s="1"/>
      <c r="Z56" s="5">
        <f t="shared" si="36"/>
        <v>-0.75962222222222231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223.29</v>
      </c>
      <c r="Q57" s="2"/>
      <c r="R57" s="6">
        <f t="shared" si="33"/>
        <v>9.0164629492786086E-2</v>
      </c>
      <c r="S57" s="2"/>
      <c r="T57" s="7"/>
      <c r="U57" s="2"/>
      <c r="V57" s="6">
        <f t="shared" si="34"/>
        <v>0</v>
      </c>
      <c r="W57" s="2"/>
      <c r="X57" s="7">
        <f t="shared" si="35"/>
        <v>223.29</v>
      </c>
      <c r="Y57" s="2"/>
      <c r="Z57" s="6">
        <f t="shared" si="36"/>
        <v>0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>
        <v>250</v>
      </c>
      <c r="I58" s="2"/>
      <c r="J58" s="6">
        <f t="shared" si="30"/>
        <v>1.4348025711662075E-2</v>
      </c>
      <c r="K58" s="2"/>
      <c r="L58" s="7">
        <f t="shared" si="31"/>
        <v>-250</v>
      </c>
      <c r="M58" s="2"/>
      <c r="N58" s="6">
        <f t="shared" si="32"/>
        <v>-1</v>
      </c>
      <c r="O58" s="11"/>
      <c r="P58" s="7">
        <v>317.56</v>
      </c>
      <c r="Q58" s="2"/>
      <c r="R58" s="6">
        <f t="shared" si="33"/>
        <v>0.12823090931850575</v>
      </c>
      <c r="S58" s="2"/>
      <c r="T58" s="7">
        <v>2250</v>
      </c>
      <c r="U58" s="2"/>
      <c r="V58" s="6">
        <f t="shared" si="34"/>
        <v>2.1120414523335712E-2</v>
      </c>
      <c r="W58" s="2"/>
      <c r="X58" s="7">
        <f t="shared" si="35"/>
        <v>-1932.44</v>
      </c>
      <c r="Y58" s="2"/>
      <c r="Z58" s="6">
        <f t="shared" si="36"/>
        <v>-0.85886222222222219</v>
      </c>
    </row>
    <row r="59" spans="1:26" s="25" customFormat="1" outlineLevel="1" collapsed="1" x14ac:dyDescent="0.25">
      <c r="A59" s="27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SUM(OSRRefD22_8x_0)</f>
        <v>0</v>
      </c>
      <c r="E59" s="1"/>
      <c r="F59" s="5">
        <f t="shared" ref="F59:F61" si="37">IF(D$12=0,0,D59/D$12)</f>
        <v>0</v>
      </c>
      <c r="G59" s="1"/>
      <c r="H59" s="1">
        <f>SUM(OSRRefH22_8x_0)</f>
        <v>1551</v>
      </c>
      <c r="I59" s="1"/>
      <c r="J59" s="5">
        <f t="shared" ref="J59:J61" si="38">IF(H$12=0,0,H59/H$12)</f>
        <v>8.9015151515151519E-2</v>
      </c>
      <c r="K59" s="1"/>
      <c r="L59" s="1">
        <f t="shared" ref="L59:L61" si="39">+D59-H59</f>
        <v>-1551</v>
      </c>
      <c r="M59" s="1"/>
      <c r="N59" s="5">
        <f t="shared" ref="N59:N61" si="40">IF(H59=0,0,L59/H59)</f>
        <v>-1</v>
      </c>
      <c r="O59" s="13"/>
      <c r="P59" s="1">
        <f>SUM(OSRRefP22_8x_0)</f>
        <v>185.7</v>
      </c>
      <c r="Q59" s="1"/>
      <c r="R59" s="5">
        <f t="shared" ref="R59:R61" si="41">IF(P$12=0,0,P59/P$12)</f>
        <v>7.4985766029873155E-2</v>
      </c>
      <c r="S59" s="1"/>
      <c r="T59" s="1">
        <f>SUM(OSRRefT22_8x_0)</f>
        <v>9553</v>
      </c>
      <c r="U59" s="1"/>
      <c r="V59" s="5">
        <f t="shared" ref="V59:V61" si="42">IF(T$12=0,0,T59/T$12)</f>
        <v>8.9672586640633795E-2</v>
      </c>
      <c r="W59" s="1"/>
      <c r="X59" s="1">
        <f t="shared" ref="X59:X61" si="43">+P59-T59</f>
        <v>-9367.2999999999993</v>
      </c>
      <c r="Y59" s="1"/>
      <c r="Z59" s="5">
        <f t="shared" ref="Z59:Z61" si="44">IF(T59=0,0,X59/T59)</f>
        <v>-0.98056108028891442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185.7</v>
      </c>
      <c r="Q60" s="2"/>
      <c r="R60" s="6">
        <f t="shared" si="41"/>
        <v>7.4985766029873155E-2</v>
      </c>
      <c r="S60" s="2"/>
      <c r="T60" s="7"/>
      <c r="U60" s="2"/>
      <c r="V60" s="6">
        <f t="shared" si="42"/>
        <v>0</v>
      </c>
      <c r="W60" s="2"/>
      <c r="X60" s="7">
        <f t="shared" si="43"/>
        <v>185.7</v>
      </c>
      <c r="Y60" s="2"/>
      <c r="Z60" s="6">
        <f t="shared" si="44"/>
        <v>0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1551</v>
      </c>
      <c r="I61" s="2"/>
      <c r="J61" s="6">
        <f t="shared" si="38"/>
        <v>8.9015151515151519E-2</v>
      </c>
      <c r="K61" s="2"/>
      <c r="L61" s="7">
        <f t="shared" si="39"/>
        <v>-1551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9553</v>
      </c>
      <c r="U61" s="2"/>
      <c r="V61" s="6">
        <f t="shared" si="42"/>
        <v>8.9672586640633795E-2</v>
      </c>
      <c r="W61" s="2"/>
      <c r="X61" s="7">
        <f t="shared" si="43"/>
        <v>-9553</v>
      </c>
      <c r="Y61" s="2"/>
      <c r="Z61" s="6">
        <f t="shared" si="44"/>
        <v>-1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0</v>
      </c>
      <c r="E62" s="1"/>
      <c r="F62" s="5">
        <f t="shared" ref="F62:F64" si="45">IF(D$12=0,0,D62/D$12)</f>
        <v>0</v>
      </c>
      <c r="G62" s="1"/>
      <c r="H62" s="1">
        <f>SUM(OSRRefH22_9x_0)</f>
        <v>287</v>
      </c>
      <c r="I62" s="1"/>
      <c r="J62" s="5">
        <f t="shared" ref="J62:J64" si="46">IF(H$12=0,0,H62/H$12)</f>
        <v>1.6471533516988063E-2</v>
      </c>
      <c r="K62" s="1"/>
      <c r="L62" s="1">
        <f t="shared" ref="L62:L64" si="47">+D62-H62</f>
        <v>-287</v>
      </c>
      <c r="M62" s="1"/>
      <c r="N62" s="5">
        <f t="shared" ref="N62:N64" si="48">IF(H62=0,0,L62/H62)</f>
        <v>-1</v>
      </c>
      <c r="O62" s="13"/>
      <c r="P62" s="1">
        <f>SUM(OSRRefP22_9x_0)</f>
        <v>-63.319999999999993</v>
      </c>
      <c r="Q62" s="1"/>
      <c r="R62" s="5">
        <f t="shared" ref="R62:R64" si="49">IF(P$12=0,0,P62/P$12)</f>
        <v>-2.556865215407414E-2</v>
      </c>
      <c r="S62" s="1"/>
      <c r="T62" s="1">
        <f>SUM(OSRRefT22_9x_0)</f>
        <v>2583</v>
      </c>
      <c r="U62" s="1"/>
      <c r="V62" s="5">
        <f t="shared" ref="V62:V64" si="50">IF(T$12=0,0,T62/T$12)</f>
        <v>2.4246235872789398E-2</v>
      </c>
      <c r="W62" s="1"/>
      <c r="X62" s="1">
        <f t="shared" ref="X62:X64" si="51">+P62-T62</f>
        <v>-2646.32</v>
      </c>
      <c r="Y62" s="1"/>
      <c r="Z62" s="5">
        <f t="shared" ref="Z62:Z64" si="52">IF(T62=0,0,X62/T62)</f>
        <v>-1.0245141308555943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45"/>
        <v>0</v>
      </c>
      <c r="G63" s="2"/>
      <c r="H63" s="7"/>
      <c r="I63" s="2"/>
      <c r="J63" s="6">
        <f t="shared" si="46"/>
        <v>0</v>
      </c>
      <c r="K63" s="2"/>
      <c r="L63" s="7">
        <f t="shared" si="47"/>
        <v>0</v>
      </c>
      <c r="M63" s="2"/>
      <c r="N63" s="6">
        <f t="shared" si="48"/>
        <v>0</v>
      </c>
      <c r="O63" s="11"/>
      <c r="P63" s="7">
        <v>82</v>
      </c>
      <c r="Q63" s="2"/>
      <c r="R63" s="6">
        <f t="shared" si="49"/>
        <v>3.3111646819868598E-2</v>
      </c>
      <c r="S63" s="2"/>
      <c r="T63" s="7"/>
      <c r="U63" s="2"/>
      <c r="V63" s="6">
        <f t="shared" si="50"/>
        <v>0</v>
      </c>
      <c r="W63" s="2"/>
      <c r="X63" s="7">
        <f t="shared" si="51"/>
        <v>82</v>
      </c>
      <c r="Y63" s="2"/>
      <c r="Z63" s="6">
        <f t="shared" si="52"/>
        <v>0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45"/>
        <v>0</v>
      </c>
      <c r="G64" s="2"/>
      <c r="H64" s="7">
        <v>287</v>
      </c>
      <c r="I64" s="2"/>
      <c r="J64" s="6">
        <f t="shared" si="46"/>
        <v>1.6471533516988063E-2</v>
      </c>
      <c r="K64" s="2"/>
      <c r="L64" s="7">
        <f t="shared" si="47"/>
        <v>-287</v>
      </c>
      <c r="M64" s="2"/>
      <c r="N64" s="6">
        <f t="shared" si="48"/>
        <v>-1</v>
      </c>
      <c r="O64" s="11"/>
      <c r="P64" s="7">
        <v>-145.32</v>
      </c>
      <c r="Q64" s="2"/>
      <c r="R64" s="6">
        <f t="shared" si="49"/>
        <v>-5.8680298973942738E-2</v>
      </c>
      <c r="S64" s="2"/>
      <c r="T64" s="7">
        <v>2583</v>
      </c>
      <c r="U64" s="2"/>
      <c r="V64" s="6">
        <f t="shared" si="50"/>
        <v>2.4246235872789398E-2</v>
      </c>
      <c r="W64" s="2"/>
      <c r="X64" s="7">
        <f t="shared" si="51"/>
        <v>-2728.32</v>
      </c>
      <c r="Y64" s="2"/>
      <c r="Z64" s="6">
        <f t="shared" si="52"/>
        <v>-1.0562601626016261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0</v>
      </c>
      <c r="E65" s="1"/>
      <c r="F65" s="5">
        <f t="shared" ref="F65:F68" si="53">IF(D$12=0,0,D65/D$12)</f>
        <v>0</v>
      </c>
      <c r="G65" s="1"/>
      <c r="H65" s="1">
        <f>SUM(OSRRefH22_10x_0)</f>
        <v>467</v>
      </c>
      <c r="I65" s="1"/>
      <c r="J65" s="5">
        <f t="shared" ref="J65:J68" si="54">IF(H$12=0,0,H65/H$12)</f>
        <v>2.6802112029384758E-2</v>
      </c>
      <c r="K65" s="1"/>
      <c r="L65" s="1">
        <f t="shared" ref="L65:L68" si="55">+D65-H65</f>
        <v>-467</v>
      </c>
      <c r="M65" s="1"/>
      <c r="N65" s="5">
        <f t="shared" ref="N65:N68" si="56">IF(H65=0,0,L65/H65)</f>
        <v>-1</v>
      </c>
      <c r="O65" s="13"/>
      <c r="P65" s="1">
        <f>SUM(OSRRefP22_10x_0)</f>
        <v>328.55</v>
      </c>
      <c r="Q65" s="1"/>
      <c r="R65" s="5">
        <f t="shared" ref="R65:R68" si="57">IF(P$12=0,0,P65/P$12)</f>
        <v>0.13266867759351011</v>
      </c>
      <c r="S65" s="1"/>
      <c r="T65" s="1">
        <f>SUM(OSRRefT22_10x_0)</f>
        <v>4403</v>
      </c>
      <c r="U65" s="1"/>
      <c r="V65" s="5">
        <f t="shared" ref="V65:V68" si="58">IF(T$12=0,0,T65/T$12)</f>
        <v>4.1330304509443173E-2</v>
      </c>
      <c r="W65" s="1"/>
      <c r="X65" s="1">
        <f t="shared" ref="X65:X68" si="59">+P65-T65</f>
        <v>-4074.45</v>
      </c>
      <c r="Y65" s="1"/>
      <c r="Z65" s="5">
        <f t="shared" ref="Z65:Z68" si="60">IF(T65=0,0,X65/T65)</f>
        <v>-0.9253804224392459</v>
      </c>
    </row>
    <row r="66" spans="1:26" s="24" customFormat="1" hidden="1" outlineLevel="2" x14ac:dyDescent="0.25">
      <c r="A66" s="26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53"/>
        <v>0</v>
      </c>
      <c r="G66" s="2"/>
      <c r="H66" s="7">
        <v>200</v>
      </c>
      <c r="I66" s="2"/>
      <c r="J66" s="6">
        <f t="shared" si="54"/>
        <v>1.1478420569329659E-2</v>
      </c>
      <c r="K66" s="2"/>
      <c r="L66" s="7">
        <f t="shared" si="55"/>
        <v>-200</v>
      </c>
      <c r="M66" s="2"/>
      <c r="N66" s="6">
        <f t="shared" si="56"/>
        <v>-1</v>
      </c>
      <c r="O66" s="11"/>
      <c r="P66" s="7">
        <v>207.27</v>
      </c>
      <c r="Q66" s="2"/>
      <c r="R66" s="6">
        <f t="shared" si="57"/>
        <v>8.3695744345782502E-2</v>
      </c>
      <c r="S66" s="2"/>
      <c r="T66" s="7">
        <v>1800</v>
      </c>
      <c r="U66" s="2"/>
      <c r="V66" s="6">
        <f t="shared" si="58"/>
        <v>1.6896331618668568E-2</v>
      </c>
      <c r="W66" s="2"/>
      <c r="X66" s="7">
        <f t="shared" si="59"/>
        <v>-1592.73</v>
      </c>
      <c r="Y66" s="2"/>
      <c r="Z66" s="6">
        <f t="shared" si="60"/>
        <v>-0.88485000000000003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7"/>
      <c r="E67" s="2"/>
      <c r="F67" s="6">
        <f t="shared" si="53"/>
        <v>0</v>
      </c>
      <c r="G67" s="2"/>
      <c r="H67" s="7">
        <v>267</v>
      </c>
      <c r="I67" s="2"/>
      <c r="J67" s="6">
        <f t="shared" si="54"/>
        <v>1.5323691460055097E-2</v>
      </c>
      <c r="K67" s="2"/>
      <c r="L67" s="7">
        <f t="shared" si="55"/>
        <v>-267</v>
      </c>
      <c r="M67" s="2"/>
      <c r="N67" s="6">
        <f t="shared" si="56"/>
        <v>-1</v>
      </c>
      <c r="O67" s="11"/>
      <c r="P67" s="7">
        <v>121.28</v>
      </c>
      <c r="Q67" s="2"/>
      <c r="R67" s="6">
        <f t="shared" si="57"/>
        <v>4.8972933247727606E-2</v>
      </c>
      <c r="S67" s="2"/>
      <c r="T67" s="7">
        <v>2403</v>
      </c>
      <c r="U67" s="2"/>
      <c r="V67" s="6">
        <f t="shared" si="58"/>
        <v>2.2556602710922538E-2</v>
      </c>
      <c r="W67" s="2"/>
      <c r="X67" s="7">
        <f t="shared" si="59"/>
        <v>-2281.7199999999998</v>
      </c>
      <c r="Y67" s="2"/>
      <c r="Z67" s="6">
        <f t="shared" si="60"/>
        <v>-0.94952975447357457</v>
      </c>
    </row>
    <row r="68" spans="1:26" s="24" customFormat="1" hidden="1" outlineLevel="2" x14ac:dyDescent="0.25">
      <c r="A68" s="26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200</v>
      </c>
      <c r="U68" s="2"/>
      <c r="V68" s="6">
        <f t="shared" si="58"/>
        <v>1.8773701798520633E-3</v>
      </c>
      <c r="W68" s="2"/>
      <c r="X68" s="7">
        <f t="shared" si="59"/>
        <v>-200</v>
      </c>
      <c r="Y68" s="2"/>
      <c r="Z68" s="6">
        <f t="shared" si="60"/>
        <v>-1</v>
      </c>
    </row>
    <row r="69" spans="1:26" s="25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SUM(OSRRefD22_11x_0)</f>
        <v>51.5</v>
      </c>
      <c r="E69" s="1"/>
      <c r="F69" s="5">
        <f t="shared" ref="F69:F71" si="61">IF(D$12=0,0,D69/D$12)</f>
        <v>0</v>
      </c>
      <c r="G69" s="1"/>
      <c r="H69" s="1">
        <f>SUM(OSRRefH22_11x_0)</f>
        <v>75</v>
      </c>
      <c r="I69" s="1"/>
      <c r="J69" s="5">
        <f t="shared" ref="J69:J71" si="62">IF(H$12=0,0,H69/H$12)</f>
        <v>4.3044077134986227E-3</v>
      </c>
      <c r="K69" s="1"/>
      <c r="L69" s="1">
        <f t="shared" ref="L69:L71" si="63">+D69-H69</f>
        <v>-23.5</v>
      </c>
      <c r="M69" s="1"/>
      <c r="N69" s="5">
        <f t="shared" ref="N69:N71" si="64">IF(H69=0,0,L69/H69)</f>
        <v>-0.31333333333333335</v>
      </c>
      <c r="O69" s="13"/>
      <c r="P69" s="1">
        <f>SUM(OSRRefP22_11x_0)</f>
        <v>838.5</v>
      </c>
      <c r="Q69" s="1"/>
      <c r="R69" s="5">
        <f t="shared" ref="R69:R71" si="65">IF(P$12=0,0,P69/P$12)</f>
        <v>0.33858677876170512</v>
      </c>
      <c r="S69" s="1"/>
      <c r="T69" s="1">
        <f>SUM(OSRRefT22_11x_0)</f>
        <v>750</v>
      </c>
      <c r="U69" s="1"/>
      <c r="V69" s="5">
        <f t="shared" ref="V69:V71" si="66">IF(T$12=0,0,T69/T$12)</f>
        <v>7.0401381744452374E-3</v>
      </c>
      <c r="W69" s="1"/>
      <c r="X69" s="1">
        <f t="shared" ref="X69:X71" si="67">+P69-T69</f>
        <v>88.5</v>
      </c>
      <c r="Y69" s="1"/>
      <c r="Z69" s="5">
        <f t="shared" ref="Z69:Z71" si="68">IF(T69=0,0,X69/T69)</f>
        <v>0.11799999999999999</v>
      </c>
    </row>
    <row r="70" spans="1:26" s="24" customFormat="1" hidden="1" outlineLevel="2" x14ac:dyDescent="0.25">
      <c r="A70" s="26"/>
      <c r="B70" s="11" t="str">
        <f>CONCATENATE("          ", "6303", " - ", "DATA PHONE LINES")</f>
        <v xml:space="preserve">          6303 - DATA PHONE LINES</v>
      </c>
      <c r="C70" s="11"/>
      <c r="D70" s="7"/>
      <c r="E70" s="2"/>
      <c r="F70" s="6">
        <f t="shared" si="61"/>
        <v>0</v>
      </c>
      <c r="G70" s="2"/>
      <c r="H70" s="7">
        <v>75</v>
      </c>
      <c r="I70" s="2"/>
      <c r="J70" s="6">
        <f t="shared" si="62"/>
        <v>4.3044077134986227E-3</v>
      </c>
      <c r="K70" s="2"/>
      <c r="L70" s="7">
        <f t="shared" si="63"/>
        <v>-75</v>
      </c>
      <c r="M70" s="2"/>
      <c r="N70" s="6">
        <f t="shared" si="64"/>
        <v>-1</v>
      </c>
      <c r="O70" s="11"/>
      <c r="P70" s="7"/>
      <c r="Q70" s="2"/>
      <c r="R70" s="6">
        <f t="shared" si="65"/>
        <v>0</v>
      </c>
      <c r="S70" s="2"/>
      <c r="T70" s="7">
        <v>750</v>
      </c>
      <c r="U70" s="2"/>
      <c r="V70" s="6">
        <f t="shared" si="66"/>
        <v>7.0401381744452374E-3</v>
      </c>
      <c r="W70" s="2"/>
      <c r="X70" s="7">
        <f t="shared" si="67"/>
        <v>-750</v>
      </c>
      <c r="Y70" s="2"/>
      <c r="Z70" s="6">
        <f t="shared" si="68"/>
        <v>-1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>
        <v>51.5</v>
      </c>
      <c r="E71" s="2"/>
      <c r="F71" s="6">
        <f t="shared" si="61"/>
        <v>0</v>
      </c>
      <c r="G71" s="2"/>
      <c r="H71" s="7"/>
      <c r="I71" s="2"/>
      <c r="J71" s="6">
        <f t="shared" si="62"/>
        <v>0</v>
      </c>
      <c r="K71" s="2"/>
      <c r="L71" s="7">
        <f t="shared" si="63"/>
        <v>51.5</v>
      </c>
      <c r="M71" s="2"/>
      <c r="N71" s="6">
        <f t="shared" si="64"/>
        <v>0</v>
      </c>
      <c r="O71" s="11"/>
      <c r="P71" s="7">
        <v>838.5</v>
      </c>
      <c r="Q71" s="2"/>
      <c r="R71" s="6">
        <f t="shared" si="65"/>
        <v>0.33858677876170512</v>
      </c>
      <c r="S71" s="2"/>
      <c r="T71" s="7"/>
      <c r="U71" s="2"/>
      <c r="V71" s="6">
        <f t="shared" si="66"/>
        <v>0</v>
      </c>
      <c r="W71" s="2"/>
      <c r="X71" s="7">
        <f t="shared" si="67"/>
        <v>838.5</v>
      </c>
      <c r="Y71" s="2"/>
      <c r="Z71" s="6">
        <f t="shared" si="68"/>
        <v>0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ref="F72:F75" si="69">IF(D$12=0,0,D72/D$12)</f>
        <v>0</v>
      </c>
      <c r="G72" s="1"/>
      <c r="H72" s="1">
        <f>SUM(OSRRefH22_12x_0)</f>
        <v>0</v>
      </c>
      <c r="I72" s="1"/>
      <c r="J72" s="5">
        <f t="shared" ref="J72:J75" si="70">IF(H$12=0,0,H72/H$12)</f>
        <v>0</v>
      </c>
      <c r="K72" s="1"/>
      <c r="L72" s="1">
        <f t="shared" ref="L72:L75" si="71">+D72-H72</f>
        <v>0</v>
      </c>
      <c r="M72" s="1"/>
      <c r="N72" s="5">
        <f t="shared" ref="N72:N75" si="72">IF(H72=0,0,L72/H72)</f>
        <v>0</v>
      </c>
      <c r="O72" s="13"/>
      <c r="P72" s="1">
        <f>SUM(OSRRefP22_12x_0)</f>
        <v>0</v>
      </c>
      <c r="Q72" s="1"/>
      <c r="R72" s="5">
        <f t="shared" ref="R72:R75" si="73">IF(P$12=0,0,P72/P$12)</f>
        <v>0</v>
      </c>
      <c r="S72" s="1"/>
      <c r="T72" s="1">
        <f>SUM(OSRRefT22_12x_0)</f>
        <v>120</v>
      </c>
      <c r="U72" s="1"/>
      <c r="V72" s="5">
        <f t="shared" ref="V72:V75" si="74">IF(T$12=0,0,T72/T$12)</f>
        <v>1.1264221079112379E-3</v>
      </c>
      <c r="W72" s="1"/>
      <c r="X72" s="1">
        <f t="shared" ref="X72:X75" si="75">+P72-T72</f>
        <v>-120</v>
      </c>
      <c r="Y72" s="1"/>
      <c r="Z72" s="5">
        <f t="shared" ref="Z72:Z75" si="76">IF(T72=0,0,X72/T72)</f>
        <v>-1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69"/>
        <v>0</v>
      </c>
      <c r="G73" s="2"/>
      <c r="H73" s="7"/>
      <c r="I73" s="2"/>
      <c r="J73" s="6">
        <f t="shared" si="70"/>
        <v>0</v>
      </c>
      <c r="K73" s="2"/>
      <c r="L73" s="7">
        <f t="shared" si="71"/>
        <v>0</v>
      </c>
      <c r="M73" s="2"/>
      <c r="N73" s="6">
        <f t="shared" si="72"/>
        <v>0</v>
      </c>
      <c r="O73" s="11"/>
      <c r="P73" s="7"/>
      <c r="Q73" s="2"/>
      <c r="R73" s="6">
        <f t="shared" si="73"/>
        <v>0</v>
      </c>
      <c r="S73" s="2"/>
      <c r="T73" s="7">
        <v>120</v>
      </c>
      <c r="U73" s="2"/>
      <c r="V73" s="6">
        <f t="shared" si="74"/>
        <v>1.1264221079112379E-3</v>
      </c>
      <c r="W73" s="2"/>
      <c r="X73" s="7">
        <f t="shared" si="75"/>
        <v>-120</v>
      </c>
      <c r="Y73" s="2"/>
      <c r="Z73" s="6">
        <f t="shared" si="76"/>
        <v>-1</v>
      </c>
    </row>
    <row r="74" spans="1:26" s="25" customFormat="1" outlineLevel="1" collapsed="1" x14ac:dyDescent="0.25">
      <c r="A74" s="27"/>
      <c r="B74" s="13" t="str">
        <f>CONCATENATE("     ","Utilities                                         ")</f>
        <v xml:space="preserve">     Utilities                                         </v>
      </c>
      <c r="C74" s="13"/>
      <c r="D74" s="1">
        <f>SUM(OSRRefD22_13x_0)</f>
        <v>50</v>
      </c>
      <c r="E74" s="1"/>
      <c r="F74" s="5">
        <f t="shared" si="69"/>
        <v>0</v>
      </c>
      <c r="G74" s="1"/>
      <c r="H74" s="1">
        <f>SUM(OSRRefH22_13x_0)</f>
        <v>50</v>
      </c>
      <c r="I74" s="1"/>
      <c r="J74" s="5">
        <f t="shared" si="70"/>
        <v>2.8696051423324149E-3</v>
      </c>
      <c r="K74" s="1"/>
      <c r="L74" s="1">
        <f t="shared" si="71"/>
        <v>0</v>
      </c>
      <c r="M74" s="1"/>
      <c r="N74" s="5">
        <f t="shared" si="72"/>
        <v>0</v>
      </c>
      <c r="O74" s="13"/>
      <c r="P74" s="1">
        <f>SUM(OSRRefP22_13x_0)</f>
        <v>500</v>
      </c>
      <c r="Q74" s="1"/>
      <c r="R74" s="5">
        <f t="shared" si="73"/>
        <v>0.20190028548700364</v>
      </c>
      <c r="S74" s="1"/>
      <c r="T74" s="1">
        <f>SUM(OSRRefT22_13x_0)</f>
        <v>500</v>
      </c>
      <c r="U74" s="1"/>
      <c r="V74" s="5">
        <f t="shared" si="74"/>
        <v>4.693425449630158E-3</v>
      </c>
      <c r="W74" s="1"/>
      <c r="X74" s="1">
        <f t="shared" si="75"/>
        <v>0</v>
      </c>
      <c r="Y74" s="1"/>
      <c r="Z74" s="5">
        <f t="shared" si="76"/>
        <v>0</v>
      </c>
    </row>
    <row r="75" spans="1:26" s="24" customFormat="1" hidden="1" outlineLevel="2" x14ac:dyDescent="0.25">
      <c r="A75" s="26"/>
      <c r="B75" s="11" t="str">
        <f>CONCATENATE("          ", "6274", " - ", "UTILITIES")</f>
        <v xml:space="preserve">          6274 - UTILITIES</v>
      </c>
      <c r="C75" s="11"/>
      <c r="D75" s="7">
        <v>50</v>
      </c>
      <c r="E75" s="2"/>
      <c r="F75" s="6">
        <f t="shared" si="69"/>
        <v>0</v>
      </c>
      <c r="G75" s="2"/>
      <c r="H75" s="7">
        <v>50</v>
      </c>
      <c r="I75" s="2"/>
      <c r="J75" s="6">
        <f t="shared" si="70"/>
        <v>2.8696051423324149E-3</v>
      </c>
      <c r="K75" s="2"/>
      <c r="L75" s="7">
        <f t="shared" si="71"/>
        <v>0</v>
      </c>
      <c r="M75" s="2"/>
      <c r="N75" s="6">
        <f t="shared" si="72"/>
        <v>0</v>
      </c>
      <c r="O75" s="11"/>
      <c r="P75" s="7">
        <v>500</v>
      </c>
      <c r="Q75" s="2"/>
      <c r="R75" s="6">
        <f t="shared" si="73"/>
        <v>0.20190028548700364</v>
      </c>
      <c r="S75" s="2"/>
      <c r="T75" s="7">
        <v>500</v>
      </c>
      <c r="U75" s="2"/>
      <c r="V75" s="6">
        <f t="shared" si="74"/>
        <v>4.693425449630158E-3</v>
      </c>
      <c r="W75" s="2"/>
      <c r="X75" s="7">
        <f t="shared" si="75"/>
        <v>0</v>
      </c>
      <c r="Y75" s="2"/>
      <c r="Z75" s="6">
        <f t="shared" si="76"/>
        <v>0</v>
      </c>
    </row>
    <row r="76" spans="1:26" s="61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1">
        <f>+D22-D24+D77</f>
        <v>-1401.82</v>
      </c>
      <c r="E79" s="14"/>
      <c r="F79" s="20">
        <f>IF(D$12=0,0,D79/D$12)</f>
        <v>0</v>
      </c>
      <c r="G79" s="14"/>
      <c r="H79" s="21">
        <f>+H22-H24+H77</f>
        <v>-6886.1081525000009</v>
      </c>
      <c r="I79" s="14"/>
      <c r="J79" s="20">
        <f>IF(H$12=0,0,H79/H$12)</f>
        <v>-0.39520822730142335</v>
      </c>
      <c r="K79" s="16"/>
      <c r="L79" s="21">
        <f>+D79-H79</f>
        <v>5484.2881525000012</v>
      </c>
      <c r="M79" s="16"/>
      <c r="N79" s="20">
        <f>IF(H79=0,0,L79/H79)</f>
        <v>-0.79642782701705472</v>
      </c>
      <c r="O79" s="29"/>
      <c r="P79" s="21">
        <f>+P22-P24+P77</f>
        <v>-58160.939999999988</v>
      </c>
      <c r="Q79" s="14"/>
      <c r="R79" s="20">
        <f>IF(P$12=0,0,P79/P$12)</f>
        <v>-23.485420780384977</v>
      </c>
      <c r="S79" s="14"/>
      <c r="T79" s="21">
        <f>+T22-T24+T77</f>
        <v>-43257.900157299999</v>
      </c>
      <c r="U79" s="14"/>
      <c r="V79" s="20">
        <f>IF(T$12=0,0,T79/T$12)</f>
        <v>-0.40605545899166445</v>
      </c>
      <c r="W79" s="16"/>
      <c r="X79" s="21">
        <f>+P79-T79</f>
        <v>-14903.039842699989</v>
      </c>
      <c r="Y79" s="16"/>
      <c r="Z79" s="20">
        <f>IF(T79=0,0,X79/T79)</f>
        <v>0.34451602570877504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7.71</v>
      </c>
      <c r="E81" s="4"/>
      <c r="F81" s="12">
        <f>IF(D$12=0,0,D81/D$12)</f>
        <v>0</v>
      </c>
      <c r="G81" s="4"/>
      <c r="H81" s="4">
        <v>3540</v>
      </c>
      <c r="I81" s="4"/>
      <c r="J81" s="12">
        <f>IF(H$12=0,0,H81/H$12)</f>
        <v>0.20316804407713498</v>
      </c>
      <c r="K81" s="4"/>
      <c r="L81" s="4">
        <f>+D81-H81</f>
        <v>-3532.29</v>
      </c>
      <c r="M81" s="4"/>
      <c r="N81" s="12">
        <f>IF(H81=0,0,L81/H81)</f>
        <v>-0.99782203389830504</v>
      </c>
      <c r="O81" s="10"/>
      <c r="P81" s="4">
        <v>518.09</v>
      </c>
      <c r="Q81" s="4"/>
      <c r="R81" s="12">
        <f>IF(P$12=0,0,P81/P$12)</f>
        <v>0.20920503781592345</v>
      </c>
      <c r="S81" s="4"/>
      <c r="T81" s="4">
        <v>19298</v>
      </c>
      <c r="U81" s="4"/>
      <c r="V81" s="12">
        <f>IF(T$12=0,0,T81/T$12)</f>
        <v>0.18114744865392557</v>
      </c>
      <c r="W81" s="4"/>
      <c r="X81" s="4">
        <f>+P81-T81</f>
        <v>-18779.91</v>
      </c>
      <c r="Y81" s="4"/>
      <c r="Z81" s="12">
        <f>IF(T81=0,0,X81/T81)</f>
        <v>-0.97315317649497357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1">
        <f>+D79-D81</f>
        <v>-1409.53</v>
      </c>
      <c r="E83" s="14"/>
      <c r="F83" s="33">
        <f>IF(D$12=0,0,D83/D$12)</f>
        <v>0</v>
      </c>
      <c r="G83" s="14"/>
      <c r="H83" s="31">
        <f>+H79-H81</f>
        <v>-10426.108152500001</v>
      </c>
      <c r="I83" s="14"/>
      <c r="J83" s="33">
        <f>IF(H$12=0,0,H83/H$12)</f>
        <v>-0.59837627137855831</v>
      </c>
      <c r="K83" s="16"/>
      <c r="L83" s="31">
        <f>D83-H83</f>
        <v>9016.5781525000002</v>
      </c>
      <c r="M83" s="16"/>
      <c r="N83" s="33">
        <f>IF(H83=0,0,L83/H83)</f>
        <v>-0.86480765599366816</v>
      </c>
      <c r="O83" s="29"/>
      <c r="P83" s="31">
        <f>+P79-P81</f>
        <v>-58679.029999999984</v>
      </c>
      <c r="Q83" s="14"/>
      <c r="R83" s="33">
        <f>IF(P$12=0,0,P83/P$12)</f>
        <v>-23.694625818200898</v>
      </c>
      <c r="S83" s="14"/>
      <c r="T83" s="31">
        <f>+T79-T81</f>
        <v>-62555.900157299999</v>
      </c>
      <c r="U83" s="14"/>
      <c r="V83" s="33">
        <f>IF(T$12=0,0,T83/T$12)</f>
        <v>-0.58720290764559002</v>
      </c>
      <c r="W83" s="16"/>
      <c r="X83" s="31">
        <f>P83-T83</f>
        <v>3876.8701573000144</v>
      </c>
      <c r="Y83" s="16"/>
      <c r="Z83" s="33">
        <f>IF(T83=0,0,X83/T83)</f>
        <v>-6.1974492374842767E-2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4">
        <f>SUM(D83:D85)</f>
        <v>-1409.53</v>
      </c>
      <c r="E86" s="14"/>
      <c r="F86" s="35">
        <f>IF(D$12=0,0,D86/D$12)</f>
        <v>0</v>
      </c>
      <c r="G86" s="14"/>
      <c r="H86" s="34">
        <f>SUM(H83:H85)</f>
        <v>-10426.108152500001</v>
      </c>
      <c r="I86" s="14"/>
      <c r="J86" s="35">
        <f>IF(H$12=0,0,H86/H$12)</f>
        <v>-0.59837627137855831</v>
      </c>
      <c r="K86" s="16"/>
      <c r="L86" s="34">
        <f>+D86-H86</f>
        <v>9016.5781525000002</v>
      </c>
      <c r="M86" s="16"/>
      <c r="N86" s="35">
        <f>IF(H86=0,0,L86/H86)</f>
        <v>-0.86480765599366816</v>
      </c>
      <c r="O86" s="29"/>
      <c r="P86" s="34">
        <f>SUM(P83:P85)</f>
        <v>-58679.029999999984</v>
      </c>
      <c r="Q86" s="14"/>
      <c r="R86" s="35">
        <f>IF(P$12=0,0,P86/P$12)</f>
        <v>-23.694625818200898</v>
      </c>
      <c r="S86" s="14"/>
      <c r="T86" s="34">
        <f>SUM(T83:T85)</f>
        <v>-62555.900157299999</v>
      </c>
      <c r="U86" s="14"/>
      <c r="V86" s="35">
        <f>IF(T$12=0,0,T86/T$12)</f>
        <v>-0.58720290764559002</v>
      </c>
      <c r="W86" s="16"/>
      <c r="X86" s="34">
        <f>+P86-T86</f>
        <v>3876.8701573000144</v>
      </c>
      <c r="Y86" s="16"/>
      <c r="Z86" s="35">
        <f>IF(T86=0,0,X86/T86)</f>
        <v>-6.1974492374842767E-2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>
        <v>44330.0058283912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 t="s">
        <v>56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5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1"/>
      <c r="P17" s="2">
        <v>-1222.33</v>
      </c>
      <c r="Q17" s="2"/>
      <c r="R17" s="19">
        <f t="shared" si="8"/>
        <v>0</v>
      </c>
      <c r="S17" s="2"/>
      <c r="T17" s="2"/>
      <c r="U17" s="2"/>
      <c r="V17" s="19">
        <f t="shared" si="9"/>
        <v>0</v>
      </c>
      <c r="W17" s="2"/>
      <c r="X17" s="2">
        <f t="shared" si="10"/>
        <v>-1222.33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1">
        <f>D12-D15</f>
        <v>0</v>
      </c>
      <c r="E19" s="14"/>
      <c r="F19" s="20">
        <f>IF(D$12=0,0,D19/D$12)</f>
        <v>0</v>
      </c>
      <c r="G19" s="14"/>
      <c r="H19" s="21">
        <f>H12-H15</f>
        <v>0</v>
      </c>
      <c r="I19" s="14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9"/>
      <c r="P19" s="21">
        <f>P12-P15</f>
        <v>1222.33</v>
      </c>
      <c r="Q19" s="14"/>
      <c r="R19" s="20">
        <f>IF(P$12=0,0,P19/P$12)</f>
        <v>0</v>
      </c>
      <c r="S19" s="14"/>
      <c r="T19" s="21">
        <f>T12-T15</f>
        <v>0</v>
      </c>
      <c r="U19" s="14"/>
      <c r="V19" s="20">
        <f>IF(T$12=0,0,T19/T$12)</f>
        <v>0</v>
      </c>
      <c r="W19" s="16"/>
      <c r="X19" s="21">
        <f>+P19-T19</f>
        <v>1222.33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2">
        <f>SUM(OSRRefD22x_0)</f>
        <v>2225.34</v>
      </c>
      <c r="E21" s="22"/>
      <c r="F21" s="32">
        <f t="shared" ref="F21:F30" si="12">IF(D$12=0,0,D21/D$12)</f>
        <v>0</v>
      </c>
      <c r="G21" s="22"/>
      <c r="H21" s="22">
        <f>SUM(OSRRefH22x_0)</f>
        <v>2017</v>
      </c>
      <c r="I21" s="22"/>
      <c r="J21" s="32">
        <f t="shared" ref="J21:J30" si="13">IF(H$12=0,0,H21/H$12)</f>
        <v>0</v>
      </c>
      <c r="K21" s="4"/>
      <c r="L21" s="22">
        <f t="shared" ref="L21:L30" si="14">+D21-H21</f>
        <v>208.34000000000015</v>
      </c>
      <c r="M21" s="4"/>
      <c r="N21" s="32">
        <f t="shared" ref="N21:N30" si="15">IF(H21=0,0,L21/H21)</f>
        <v>0.10329201784828961</v>
      </c>
      <c r="O21" s="10"/>
      <c r="P21" s="22">
        <f>SUM(OSRRefP22x_0)</f>
        <v>24263.000000000004</v>
      </c>
      <c r="Q21" s="22"/>
      <c r="R21" s="32">
        <f t="shared" ref="R21:R30" si="16">IF(P$12=0,0,P21/P$12)</f>
        <v>0</v>
      </c>
      <c r="S21" s="22"/>
      <c r="T21" s="22">
        <f>SUM(OSRRefT22x_0)</f>
        <v>20170</v>
      </c>
      <c r="U21" s="22"/>
      <c r="V21" s="32">
        <f t="shared" ref="V21:V30" si="17">IF(T$12=0,0,T21/T$12)</f>
        <v>0</v>
      </c>
      <c r="W21" s="4"/>
      <c r="X21" s="22">
        <f t="shared" ref="X21:X30" si="18">+P21-T21</f>
        <v>4093.0000000000036</v>
      </c>
      <c r="Y21" s="4"/>
      <c r="Z21" s="32">
        <f t="shared" ref="Z21:Z30" si="19">IF(T21=0,0,X21/T21)</f>
        <v>0.20292513634110082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3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3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3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5" customFormat="1" outlineLevel="1" collapsed="1" x14ac:dyDescent="0.25">
      <c r="A46" s="27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3"/>
      <c r="P46" s="1">
        <f>SUM(OSRRefP22_4x_0)</f>
        <v>20173.400000000001</v>
      </c>
      <c r="Q46" s="1"/>
      <c r="R46" s="5">
        <f t="shared" si="32"/>
        <v>0</v>
      </c>
      <c r="S46" s="1"/>
      <c r="T46" s="1">
        <f>SUM(OSRRefT22_4x_0)</f>
        <v>20170</v>
      </c>
      <c r="U46" s="1"/>
      <c r="V46" s="5">
        <f t="shared" si="33"/>
        <v>0</v>
      </c>
      <c r="W46" s="1"/>
      <c r="X46" s="1">
        <f t="shared" si="34"/>
        <v>3.4000000000014552</v>
      </c>
      <c r="Y46" s="1"/>
      <c r="Z46" s="5">
        <f t="shared" si="35"/>
        <v>1.6856717897875337E-4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20173.400000000001</v>
      </c>
      <c r="Q47" s="2"/>
      <c r="R47" s="6">
        <f t="shared" si="32"/>
        <v>0</v>
      </c>
      <c r="S47" s="2"/>
      <c r="T47" s="7">
        <v>20170</v>
      </c>
      <c r="U47" s="2"/>
      <c r="V47" s="6">
        <f t="shared" si="33"/>
        <v>0</v>
      </c>
      <c r="W47" s="2"/>
      <c r="X47" s="7">
        <f t="shared" si="34"/>
        <v>3.4000000000014552</v>
      </c>
      <c r="Y47" s="2"/>
      <c r="Z47" s="6">
        <f t="shared" si="35"/>
        <v>1.6856717897875337E-4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5" customFormat="1" outlineLevel="1" collapsed="1" x14ac:dyDescent="0.25">
      <c r="A50" s="27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SUM(OSRRefP22_7x_0)</f>
        <v>295.64999999999998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295.64999999999998</v>
      </c>
      <c r="Y52" s="1"/>
      <c r="Z52" s="5">
        <f t="shared" si="35"/>
        <v>0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295.64999999999998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295.64999999999998</v>
      </c>
      <c r="Y53" s="2"/>
      <c r="Z53" s="6">
        <f t="shared" si="35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3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3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6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3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5" customFormat="1" outlineLevel="1" collapsed="1" x14ac:dyDescent="0.25">
      <c r="A65" s="27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3"/>
      <c r="P65" s="1">
        <f>SUM(OSRRefP22_11x_0)</f>
        <v>955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955</v>
      </c>
      <c r="Y65" s="1"/>
      <c r="Z65" s="5">
        <f t="shared" si="59"/>
        <v>0</v>
      </c>
    </row>
    <row r="66" spans="1:26" s="24" customFormat="1" hidden="1" outlineLevel="2" x14ac:dyDescent="0.25">
      <c r="A66" s="26"/>
      <c r="B66" s="11" t="str">
        <f>CONCATENATE("          ", "6274", " - ", "UTILITIES")</f>
        <v xml:space="preserve">          6274 - UTILITIES</v>
      </c>
      <c r="C66" s="11"/>
      <c r="D66" s="7">
        <v>208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208</v>
      </c>
      <c r="M66" s="2"/>
      <c r="N66" s="6">
        <f t="shared" si="55"/>
        <v>0</v>
      </c>
      <c r="O66" s="11"/>
      <c r="P66" s="7">
        <v>955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955</v>
      </c>
      <c r="Y66" s="2"/>
      <c r="Z66" s="6">
        <f t="shared" si="59"/>
        <v>0</v>
      </c>
    </row>
    <row r="67" spans="1:26" s="61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277</v>
      </c>
      <c r="C70" s="28"/>
      <c r="D70" s="21">
        <f>+D19-D21+D68</f>
        <v>-2225.34</v>
      </c>
      <c r="E70" s="14"/>
      <c r="F70" s="20">
        <f>IF(D$12=0,0,D70/D$12)</f>
        <v>0</v>
      </c>
      <c r="G70" s="14"/>
      <c r="H70" s="21">
        <f>+H19-H21+H68</f>
        <v>-2017</v>
      </c>
      <c r="I70" s="14"/>
      <c r="J70" s="20">
        <f>IF(H$12=0,0,H70/H$12)</f>
        <v>0</v>
      </c>
      <c r="K70" s="16"/>
      <c r="L70" s="21">
        <f>+D70-H70</f>
        <v>-208.34000000000015</v>
      </c>
      <c r="M70" s="16"/>
      <c r="N70" s="20">
        <f>IF(H70=0,0,L70/H70)</f>
        <v>0.10329201784828961</v>
      </c>
      <c r="O70" s="29"/>
      <c r="P70" s="21">
        <f>+P19-P21+P68</f>
        <v>-23040.670000000006</v>
      </c>
      <c r="Q70" s="14"/>
      <c r="R70" s="20">
        <f>IF(P$12=0,0,P70/P$12)</f>
        <v>0</v>
      </c>
      <c r="S70" s="14"/>
      <c r="T70" s="21">
        <f>+T19-T21+T68</f>
        <v>-20170</v>
      </c>
      <c r="U70" s="14"/>
      <c r="V70" s="20">
        <f>IF(T$12=0,0,T70/T$12)</f>
        <v>0</v>
      </c>
      <c r="W70" s="16"/>
      <c r="X70" s="21">
        <f>+P70-T70</f>
        <v>-2870.6700000000055</v>
      </c>
      <c r="Y70" s="16"/>
      <c r="Z70" s="20">
        <f>IF(T70=0,0,X70/T70)</f>
        <v>0.14232374814080345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126</v>
      </c>
      <c r="C74" s="28"/>
      <c r="D74" s="31">
        <f>+D70-D72</f>
        <v>-2225.34</v>
      </c>
      <c r="E74" s="14"/>
      <c r="F74" s="33">
        <f>IF(D$12=0,0,D74/D$12)</f>
        <v>0</v>
      </c>
      <c r="G74" s="14"/>
      <c r="H74" s="31">
        <f>+H70-H72</f>
        <v>-2017</v>
      </c>
      <c r="I74" s="14"/>
      <c r="J74" s="33">
        <f>IF(H$12=0,0,H74/H$12)</f>
        <v>0</v>
      </c>
      <c r="K74" s="16"/>
      <c r="L74" s="31">
        <f>D74-H74</f>
        <v>-208.34000000000015</v>
      </c>
      <c r="M74" s="16"/>
      <c r="N74" s="33">
        <f>IF(H74=0,0,L74/H74)</f>
        <v>0.10329201784828961</v>
      </c>
      <c r="O74" s="29"/>
      <c r="P74" s="31">
        <f>+P70-P72</f>
        <v>-23040.670000000006</v>
      </c>
      <c r="Q74" s="14"/>
      <c r="R74" s="33">
        <f>IF(P$12=0,0,P74/P$12)</f>
        <v>0</v>
      </c>
      <c r="S74" s="14"/>
      <c r="T74" s="31">
        <f>+T70-T72</f>
        <v>-20170</v>
      </c>
      <c r="U74" s="14"/>
      <c r="V74" s="33">
        <f>IF(T$12=0,0,T74/T$12)</f>
        <v>0</v>
      </c>
      <c r="W74" s="16"/>
      <c r="X74" s="31">
        <f>P74-T74</f>
        <v>-2870.6700000000055</v>
      </c>
      <c r="Y74" s="16"/>
      <c r="Z74" s="33">
        <f>IF(T74=0,0,X74/T74)</f>
        <v>0.14232374814080345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294</v>
      </c>
      <c r="C77" s="28"/>
      <c r="D77" s="34">
        <f>SUM(D74:D76)</f>
        <v>-2225.34</v>
      </c>
      <c r="E77" s="14"/>
      <c r="F77" s="35">
        <f>IF(D$12=0,0,D77/D$12)</f>
        <v>0</v>
      </c>
      <c r="G77" s="14"/>
      <c r="H77" s="34">
        <f>SUM(H74:H76)</f>
        <v>-2017</v>
      </c>
      <c r="I77" s="14"/>
      <c r="J77" s="35">
        <f>IF(H$12=0,0,H77/H$12)</f>
        <v>0</v>
      </c>
      <c r="K77" s="16"/>
      <c r="L77" s="34">
        <f>+D77-H77</f>
        <v>-208.34000000000015</v>
      </c>
      <c r="M77" s="16"/>
      <c r="N77" s="35">
        <f>IF(H77=0,0,L77/H77)</f>
        <v>0.10329201784828961</v>
      </c>
      <c r="O77" s="29"/>
      <c r="P77" s="34">
        <f>SUM(P74:P76)</f>
        <v>-23040.670000000006</v>
      </c>
      <c r="Q77" s="14"/>
      <c r="R77" s="35">
        <f>IF(P$12=0,0,P77/P$12)</f>
        <v>0</v>
      </c>
      <c r="S77" s="14"/>
      <c r="T77" s="34">
        <f>SUM(T74:T76)</f>
        <v>-20170</v>
      </c>
      <c r="U77" s="14"/>
      <c r="V77" s="35">
        <f>IF(T$12=0,0,T77/T$12)</f>
        <v>0</v>
      </c>
      <c r="W77" s="16"/>
      <c r="X77" s="34">
        <f>+P77-T77</f>
        <v>-2870.6700000000055</v>
      </c>
      <c r="Y77" s="16"/>
      <c r="Z77" s="35">
        <f>IF(T77=0,0,X77/T77)</f>
        <v>0.14232374814080345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>
        <v>44330.0058283912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 t="s">
        <v>56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5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218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39008</v>
      </c>
      <c r="I12" s="4"/>
      <c r="J12" s="12"/>
      <c r="K12" s="4"/>
      <c r="L12" s="4">
        <f t="shared" ref="L12:L14" si="0">+D12-H12</f>
        <v>-39008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250985</v>
      </c>
      <c r="U12" s="4"/>
      <c r="V12" s="12"/>
      <c r="W12" s="4"/>
      <c r="X12" s="4">
        <f t="shared" ref="X12:X14" si="2">+P12-T12</f>
        <v>-250985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6914</v>
      </c>
      <c r="I13" s="2"/>
      <c r="J13" s="19"/>
      <c r="K13" s="2"/>
      <c r="L13" s="2">
        <f t="shared" si="0"/>
        <v>-6914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44931</v>
      </c>
      <c r="U13" s="2"/>
      <c r="V13" s="19"/>
      <c r="W13" s="2"/>
      <c r="X13" s="2">
        <f t="shared" si="2"/>
        <v>-44931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32094</v>
      </c>
      <c r="I14" s="2"/>
      <c r="J14" s="19"/>
      <c r="K14" s="2"/>
      <c r="L14" s="2">
        <f t="shared" si="0"/>
        <v>-32094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206054</v>
      </c>
      <c r="U14" s="2"/>
      <c r="V14" s="19"/>
      <c r="W14" s="2"/>
      <c r="X14" s="2">
        <f t="shared" si="2"/>
        <v>-206054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176.4</v>
      </c>
      <c r="E16" s="4"/>
      <c r="F16" s="12">
        <f t="shared" ref="F16:F19" si="6">IF(D$12=0,0,D16/D$12)</f>
        <v>0</v>
      </c>
      <c r="G16" s="4"/>
      <c r="H16" s="4">
        <f>SUM(OSRRefH16x_0)</f>
        <v>17944</v>
      </c>
      <c r="I16" s="4"/>
      <c r="J16" s="12">
        <f t="shared" ref="J16:J19" si="7">IF(H$12=0,0,H16/H$12)</f>
        <v>0.46000820344544707</v>
      </c>
      <c r="K16" s="4"/>
      <c r="L16" s="4">
        <f t="shared" ref="L16:L19" si="8">+D16-H16</f>
        <v>-17767.599999999999</v>
      </c>
      <c r="M16" s="4"/>
      <c r="N16" s="12">
        <f t="shared" ref="N16:N19" si="9">IF(H16=0,0,L16/H16)</f>
        <v>-0.9901694159607668</v>
      </c>
      <c r="O16" s="10"/>
      <c r="P16" s="4">
        <f>SUM(OSRRefP16x_0)</f>
        <v>10994.04</v>
      </c>
      <c r="Q16" s="4"/>
      <c r="R16" s="12">
        <f t="shared" ref="R16:R19" si="10">IF(P$12=0,0,P16/P$12)</f>
        <v>0</v>
      </c>
      <c r="S16" s="4"/>
      <c r="T16" s="4">
        <f>SUM(OSRRefT16x_0)</f>
        <v>108741</v>
      </c>
      <c r="U16" s="4"/>
      <c r="V16" s="12">
        <f t="shared" ref="V16:V19" si="11">IF(T$12=0,0,T16/T$12)</f>
        <v>0.43325696754786142</v>
      </c>
      <c r="W16" s="4"/>
      <c r="X16" s="4">
        <f t="shared" ref="X16:X19" si="12">+P16-T16</f>
        <v>-97746.959999999992</v>
      </c>
      <c r="Y16" s="4"/>
      <c r="Z16" s="12">
        <f t="shared" ref="Z16:Z19" si="13">IF(T16=0,0,X16/T16)</f>
        <v>-0.89889701216652407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17944</v>
      </c>
      <c r="I17" s="2"/>
      <c r="J17" s="19">
        <f t="shared" si="7"/>
        <v>0.46000820344544707</v>
      </c>
      <c r="K17" s="2"/>
      <c r="L17" s="2">
        <f t="shared" si="8"/>
        <v>-17944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108741</v>
      </c>
      <c r="U17" s="2"/>
      <c r="V17" s="19">
        <f t="shared" si="11"/>
        <v>0.43325696754786142</v>
      </c>
      <c r="W17" s="2"/>
      <c r="X17" s="2">
        <f t="shared" si="12"/>
        <v>-108741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176.4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176.4</v>
      </c>
      <c r="M18" s="2"/>
      <c r="N18" s="19">
        <f t="shared" si="9"/>
        <v>0</v>
      </c>
      <c r="O18" s="11"/>
      <c r="P18" s="2">
        <v>-634.96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-634.96</v>
      </c>
      <c r="Y18" s="2"/>
      <c r="Z18" s="19">
        <f t="shared" si="13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>
        <v>11629</v>
      </c>
      <c r="Q19" s="2"/>
      <c r="R19" s="19">
        <f t="shared" si="10"/>
        <v>0</v>
      </c>
      <c r="S19" s="2"/>
      <c r="T19" s="2"/>
      <c r="U19" s="2"/>
      <c r="V19" s="19">
        <f t="shared" si="11"/>
        <v>0</v>
      </c>
      <c r="W19" s="2"/>
      <c r="X19" s="2">
        <f t="shared" si="12"/>
        <v>11629</v>
      </c>
      <c r="Y19" s="2"/>
      <c r="Z19" s="19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1">
        <f>D12-D16</f>
        <v>-176.4</v>
      </c>
      <c r="E21" s="14"/>
      <c r="F21" s="20">
        <f>IF(D$12=0,0,D21/D$12)</f>
        <v>0</v>
      </c>
      <c r="G21" s="14"/>
      <c r="H21" s="21">
        <f>H12-H16</f>
        <v>21064</v>
      </c>
      <c r="I21" s="14"/>
      <c r="J21" s="20">
        <f>IF(H$12=0,0,H21/H$12)</f>
        <v>0.53999179655455287</v>
      </c>
      <c r="K21" s="16"/>
      <c r="L21" s="21">
        <f>+D21-H21</f>
        <v>-21240.400000000001</v>
      </c>
      <c r="M21" s="16"/>
      <c r="N21" s="20">
        <f>IF(H21=0,0,L21/H21)</f>
        <v>-1.0083744777819978</v>
      </c>
      <c r="O21" s="29"/>
      <c r="P21" s="21">
        <f>P12-P16</f>
        <v>-10994.04</v>
      </c>
      <c r="Q21" s="14"/>
      <c r="R21" s="20">
        <f>IF(P$12=0,0,P21/P$12)</f>
        <v>0</v>
      </c>
      <c r="S21" s="14"/>
      <c r="T21" s="21">
        <f>T12-T16</f>
        <v>142244</v>
      </c>
      <c r="U21" s="14"/>
      <c r="V21" s="20">
        <f>IF(T$12=0,0,T21/T$12)</f>
        <v>0.56674303245213853</v>
      </c>
      <c r="W21" s="16"/>
      <c r="X21" s="21">
        <f>+P21-T21</f>
        <v>-153238.04</v>
      </c>
      <c r="Y21" s="16"/>
      <c r="Z21" s="20">
        <f>IF(T21=0,0,X21/T21)</f>
        <v>-1.0772900087174151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2">
        <f>SUM(OSRRefD22x_0)</f>
        <v>10443.15</v>
      </c>
      <c r="E23" s="22"/>
      <c r="F23" s="32">
        <f t="shared" ref="F23:F32" si="14">IF(D$12=0,0,D23/D$12)</f>
        <v>0</v>
      </c>
      <c r="G23" s="22"/>
      <c r="H23" s="22">
        <f>SUM(OSRRefH22x_0)</f>
        <v>30615.538</v>
      </c>
      <c r="I23" s="22"/>
      <c r="J23" s="32">
        <f t="shared" ref="J23:J32" si="15">IF(H$12=0,0,H23/H$12)</f>
        <v>0.78485279942575881</v>
      </c>
      <c r="K23" s="4"/>
      <c r="L23" s="22">
        <f t="shared" ref="L23:L32" si="16">+D23-H23</f>
        <v>-20172.387999999999</v>
      </c>
      <c r="M23" s="4"/>
      <c r="N23" s="32">
        <f t="shared" ref="N23:N32" si="17">IF(H23=0,0,L23/H23)</f>
        <v>-0.65889379438636675</v>
      </c>
      <c r="O23" s="10"/>
      <c r="P23" s="22">
        <f>SUM(OSRRefP22x_0)</f>
        <v>110910.49</v>
      </c>
      <c r="Q23" s="22"/>
      <c r="R23" s="32">
        <f t="shared" ref="R23:R32" si="18">IF(P$12=0,0,P23/P$12)</f>
        <v>0</v>
      </c>
      <c r="S23" s="22"/>
      <c r="T23" s="22">
        <f>SUM(OSRRefT22x_0)</f>
        <v>282314.73096800002</v>
      </c>
      <c r="U23" s="22"/>
      <c r="V23" s="32">
        <f t="shared" ref="V23:V32" si="19">IF(T$12=0,0,T23/T$12)</f>
        <v>1.1248271050779928</v>
      </c>
      <c r="W23" s="4"/>
      <c r="X23" s="22">
        <f t="shared" ref="X23:X32" si="20">+P23-T23</f>
        <v>-171404.24096800003</v>
      </c>
      <c r="Y23" s="4"/>
      <c r="Z23" s="32">
        <f t="shared" ref="Z23:Z32" si="21">IF(T23=0,0,X23/T23)</f>
        <v>-0.60713884953962416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3941.154</v>
      </c>
      <c r="I24" s="1"/>
      <c r="J24" s="5">
        <f t="shared" si="15"/>
        <v>0.10103450574241181</v>
      </c>
      <c r="K24" s="1"/>
      <c r="L24" s="1">
        <f t="shared" si="16"/>
        <v>-3941.154</v>
      </c>
      <c r="M24" s="1"/>
      <c r="N24" s="5">
        <f t="shared" si="17"/>
        <v>-1</v>
      </c>
      <c r="O24" s="13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35650.594968000005</v>
      </c>
      <c r="U24" s="1"/>
      <c r="V24" s="5">
        <f t="shared" si="19"/>
        <v>0.14204273150985119</v>
      </c>
      <c r="W24" s="1"/>
      <c r="X24" s="1">
        <f t="shared" si="20"/>
        <v>-32760.874968000004</v>
      </c>
      <c r="Y24" s="1"/>
      <c r="Z24" s="5">
        <f t="shared" si="21"/>
        <v>-0.91894328825104277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429.79248000000001</v>
      </c>
      <c r="I25" s="2"/>
      <c r="J25" s="6">
        <f t="shared" si="15"/>
        <v>1.1018059885151765E-2</v>
      </c>
      <c r="K25" s="2"/>
      <c r="L25" s="7">
        <f t="shared" si="16"/>
        <v>-429.79248000000001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3676.317528</v>
      </c>
      <c r="U25" s="2"/>
      <c r="V25" s="6">
        <f t="shared" si="19"/>
        <v>1.464755873060143E-2</v>
      </c>
      <c r="W25" s="2"/>
      <c r="X25" s="7">
        <f t="shared" si="20"/>
        <v>-3517.1975280000001</v>
      </c>
      <c r="Y25" s="2"/>
      <c r="Z25" s="6">
        <f t="shared" si="21"/>
        <v>-0.95671755804875624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237.22919999999999</v>
      </c>
      <c r="I26" s="2"/>
      <c r="J26" s="6">
        <f t="shared" si="15"/>
        <v>6.0815525020508614E-3</v>
      </c>
      <c r="K26" s="2"/>
      <c r="L26" s="7">
        <f t="shared" si="16"/>
        <v>-237.22919999999999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1738.5264</v>
      </c>
      <c r="U26" s="2"/>
      <c r="V26" s="6">
        <f t="shared" si="19"/>
        <v>6.9268139530250811E-3</v>
      </c>
      <c r="W26" s="2"/>
      <c r="X26" s="7">
        <f t="shared" si="20"/>
        <v>-1738.5264</v>
      </c>
      <c r="Y26" s="2"/>
      <c r="Z26" s="6">
        <f t="shared" si="21"/>
        <v>-1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5.0758818703855617E-2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19800</v>
      </c>
      <c r="U27" s="2"/>
      <c r="V27" s="6">
        <f t="shared" si="19"/>
        <v>7.8889176644022549E-2</v>
      </c>
      <c r="W27" s="2"/>
      <c r="X27" s="7">
        <f t="shared" si="20"/>
        <v>-17884.37</v>
      </c>
      <c r="Y27" s="2"/>
      <c r="Z27" s="6">
        <f t="shared" si="21"/>
        <v>-0.90325101010101005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33.340319999999998</v>
      </c>
      <c r="I28" s="2"/>
      <c r="J28" s="6">
        <f t="shared" si="15"/>
        <v>8.5470467596390483E-4</v>
      </c>
      <c r="K28" s="2"/>
      <c r="L28" s="7">
        <f t="shared" si="16"/>
        <v>-33.340319999999998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244.33344</v>
      </c>
      <c r="U28" s="2"/>
      <c r="V28" s="6">
        <f t="shared" si="19"/>
        <v>9.7349817718190331E-4</v>
      </c>
      <c r="W28" s="2"/>
      <c r="X28" s="7">
        <f t="shared" si="20"/>
        <v>-244.33344</v>
      </c>
      <c r="Y28" s="2"/>
      <c r="Z28" s="6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482.976</v>
      </c>
      <c r="I29" s="2"/>
      <c r="J29" s="6">
        <f t="shared" si="15"/>
        <v>1.2381460213289581E-2</v>
      </c>
      <c r="K29" s="2"/>
      <c r="L29" s="7">
        <f t="shared" si="16"/>
        <v>-482.976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4064.1536000000001</v>
      </c>
      <c r="U29" s="2"/>
      <c r="V29" s="6">
        <f t="shared" si="19"/>
        <v>1.6192814710042434E-2</v>
      </c>
      <c r="W29" s="2"/>
      <c r="X29" s="7">
        <f t="shared" si="20"/>
        <v>-3605.2636000000002</v>
      </c>
      <c r="Y29" s="2"/>
      <c r="Z29" s="6">
        <f t="shared" si="21"/>
        <v>-0.88708842106755026</v>
      </c>
    </row>
    <row r="30" spans="1:26" s="24" customFormat="1" hidden="1" outlineLevel="2" x14ac:dyDescent="0.25">
      <c r="A30" s="26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280.8</v>
      </c>
      <c r="I31" s="2"/>
      <c r="J31" s="6">
        <f t="shared" si="15"/>
        <v>7.1985233798195249E-3</v>
      </c>
      <c r="K31" s="2"/>
      <c r="L31" s="7">
        <f t="shared" si="16"/>
        <v>-280.8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2362.88</v>
      </c>
      <c r="U31" s="2"/>
      <c r="V31" s="6">
        <f t="shared" si="19"/>
        <v>9.4144271570014149E-3</v>
      </c>
      <c r="W31" s="2"/>
      <c r="X31" s="7">
        <f t="shared" si="20"/>
        <v>-2210.7800000000002</v>
      </c>
      <c r="Y31" s="2"/>
      <c r="Z31" s="6">
        <f t="shared" si="21"/>
        <v>-0.93562940140845074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497.01600000000002</v>
      </c>
      <c r="I32" s="2"/>
      <c r="J32" s="6">
        <f t="shared" si="15"/>
        <v>1.2741386382280558E-2</v>
      </c>
      <c r="K32" s="2"/>
      <c r="L32" s="7">
        <f t="shared" si="16"/>
        <v>-497.01600000000002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3764.384</v>
      </c>
      <c r="U32" s="2"/>
      <c r="V32" s="6">
        <f t="shared" si="19"/>
        <v>1.4998442137976372E-2</v>
      </c>
      <c r="W32" s="2"/>
      <c r="X32" s="7">
        <f t="shared" si="20"/>
        <v>-3560.404</v>
      </c>
      <c r="Y32" s="2"/>
      <c r="Z32" s="6">
        <f t="shared" si="21"/>
        <v>-0.94581317952684951</v>
      </c>
    </row>
    <row r="33" spans="1:26" s="25" customFormat="1" outlineLevel="1" collapsed="1" x14ac:dyDescent="0.25">
      <c r="A33" s="27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12045.384</v>
      </c>
      <c r="I33" s="1"/>
      <c r="J33" s="5">
        <f t="shared" ref="J33:J43" si="23">IF(H$12=0,0,H33/H$12)</f>
        <v>0.30879265791632488</v>
      </c>
      <c r="K33" s="1"/>
      <c r="L33" s="1">
        <f t="shared" ref="L33:L43" si="24">+D33-H33</f>
        <v>-12045.384</v>
      </c>
      <c r="M33" s="1"/>
      <c r="N33" s="5">
        <f t="shared" ref="N33:N43" si="25">IF(H33=0,0,L33/H33)</f>
        <v>-1</v>
      </c>
      <c r="O33" s="13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87847.135999999999</v>
      </c>
      <c r="U33" s="1"/>
      <c r="V33" s="5">
        <f t="shared" ref="V33:V43" si="27">IF(T$12=0,0,T33/T$12)</f>
        <v>0.35000950654421581</v>
      </c>
      <c r="W33" s="1"/>
      <c r="X33" s="1">
        <f t="shared" ref="X33:X43" si="28">+P33-T33</f>
        <v>-86963.135999999999</v>
      </c>
      <c r="Y33" s="1"/>
      <c r="Z33" s="5">
        <f t="shared" ref="Z33:Z43" si="29">IF(T33=0,0,X33/T33)</f>
        <v>-0.98993706522202385</v>
      </c>
    </row>
    <row r="34" spans="1:26" s="24" customFormat="1" hidden="1" outlineLevel="2" x14ac:dyDescent="0.25">
      <c r="A34" s="26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5054.3999999999996</v>
      </c>
      <c r="I35" s="2"/>
      <c r="J35" s="6">
        <f t="shared" si="23"/>
        <v>0.12957342083675141</v>
      </c>
      <c r="K35" s="2"/>
      <c r="L35" s="7">
        <f t="shared" si="24"/>
        <v>-5054.3999999999996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42531.839999999997</v>
      </c>
      <c r="U35" s="2"/>
      <c r="V35" s="6">
        <f t="shared" si="27"/>
        <v>0.16945968882602544</v>
      </c>
      <c r="W35" s="2"/>
      <c r="X35" s="7">
        <f t="shared" si="28"/>
        <v>-41647.839999999997</v>
      </c>
      <c r="Y35" s="2"/>
      <c r="Z35" s="6">
        <f t="shared" si="29"/>
        <v>-0.9792155712050078</v>
      </c>
    </row>
    <row r="36" spans="1:26" s="24" customFormat="1" hidden="1" outlineLevel="2" x14ac:dyDescent="0.25">
      <c r="A36" s="26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1815.84</v>
      </c>
      <c r="I38" s="2"/>
      <c r="J38" s="6">
        <f t="shared" si="23"/>
        <v>4.6550451189499589E-2</v>
      </c>
      <c r="K38" s="2"/>
      <c r="L38" s="7">
        <f t="shared" si="24"/>
        <v>-1815.84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13671.762000000001</v>
      </c>
      <c r="U38" s="2"/>
      <c r="V38" s="6">
        <f t="shared" si="27"/>
        <v>5.4472426639042178E-2</v>
      </c>
      <c r="W38" s="2"/>
      <c r="X38" s="7">
        <f t="shared" si="28"/>
        <v>-13671.762000000001</v>
      </c>
      <c r="Y38" s="2"/>
      <c r="Z38" s="6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3.0145227802458314E-3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5175.1440000000002</v>
      </c>
      <c r="I41" s="2"/>
      <c r="J41" s="6">
        <f t="shared" si="23"/>
        <v>0.13266878589007383</v>
      </c>
      <c r="K41" s="2"/>
      <c r="L41" s="7">
        <f t="shared" si="24"/>
        <v>-5175.1440000000002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30886.934000000001</v>
      </c>
      <c r="U41" s="2"/>
      <c r="V41" s="6">
        <f t="shared" si="27"/>
        <v>0.12306286829890233</v>
      </c>
      <c r="W41" s="2"/>
      <c r="X41" s="7">
        <f t="shared" si="28"/>
        <v>-30886.934000000001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80</v>
      </c>
      <c r="I44" s="1"/>
      <c r="J44" s="5">
        <f t="shared" ref="J44:J52" si="31">IF(H$12=0,0,H44/H$12)</f>
        <v>2.0508613617719442E-3</v>
      </c>
      <c r="K44" s="1"/>
      <c r="L44" s="1">
        <f t="shared" ref="L44:L52" si="32">+D44-H44</f>
        <v>-80</v>
      </c>
      <c r="M44" s="1"/>
      <c r="N44" s="5">
        <f t="shared" ref="N44:N52" si="33">IF(H44=0,0,L44/H44)</f>
        <v>-1</v>
      </c>
      <c r="O44" s="13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1249</v>
      </c>
      <c r="U44" s="1"/>
      <c r="V44" s="5">
        <f t="shared" ref="V44:V52" si="35">IF(T$12=0,0,T44/T$12)</f>
        <v>4.9763930115345537E-3</v>
      </c>
      <c r="W44" s="1"/>
      <c r="X44" s="1">
        <f t="shared" ref="X44:X52" si="36">+P44-T44</f>
        <v>-1249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80</v>
      </c>
      <c r="I45" s="2"/>
      <c r="J45" s="6">
        <f t="shared" si="31"/>
        <v>2.0508613617719442E-3</v>
      </c>
      <c r="K45" s="2"/>
      <c r="L45" s="7">
        <f t="shared" si="32"/>
        <v>-80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1249</v>
      </c>
      <c r="U45" s="2"/>
      <c r="V45" s="6">
        <f t="shared" si="35"/>
        <v>4.9763930115345537E-3</v>
      </c>
      <c r="W45" s="2"/>
      <c r="X45" s="7">
        <f t="shared" si="36"/>
        <v>-1249</v>
      </c>
      <c r="Y45" s="2"/>
      <c r="Z45" s="6">
        <f t="shared" si="37"/>
        <v>-1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7</v>
      </c>
      <c r="I46" s="1"/>
      <c r="J46" s="5">
        <f t="shared" si="31"/>
        <v>1.7945036915504513E-4</v>
      </c>
      <c r="K46" s="1"/>
      <c r="L46" s="1">
        <f t="shared" si="32"/>
        <v>-7</v>
      </c>
      <c r="M46" s="1"/>
      <c r="N46" s="5">
        <f t="shared" si="33"/>
        <v>-1</v>
      </c>
      <c r="O46" s="13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79</v>
      </c>
      <c r="U46" s="1"/>
      <c r="V46" s="5">
        <f t="shared" si="35"/>
        <v>3.1475984620594859E-4</v>
      </c>
      <c r="W46" s="1"/>
      <c r="X46" s="1">
        <f t="shared" si="36"/>
        <v>-79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7</v>
      </c>
      <c r="I47" s="2"/>
      <c r="J47" s="6">
        <f t="shared" si="31"/>
        <v>1.7945036915504513E-4</v>
      </c>
      <c r="K47" s="2"/>
      <c r="L47" s="7">
        <f t="shared" si="32"/>
        <v>-7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79</v>
      </c>
      <c r="U47" s="2"/>
      <c r="V47" s="6">
        <f t="shared" si="35"/>
        <v>3.1475984620594859E-4</v>
      </c>
      <c r="W47" s="2"/>
      <c r="X47" s="7">
        <f t="shared" si="36"/>
        <v>-79</v>
      </c>
      <c r="Y47" s="2"/>
      <c r="Z47" s="6">
        <f t="shared" si="37"/>
        <v>-1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2100</v>
      </c>
      <c r="I48" s="1"/>
      <c r="J48" s="5">
        <f t="shared" si="31"/>
        <v>5.3835110746513537E-2</v>
      </c>
      <c r="K48" s="1"/>
      <c r="L48" s="1">
        <f t="shared" si="32"/>
        <v>-2100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24737</v>
      </c>
      <c r="U48" s="1"/>
      <c r="V48" s="5">
        <f t="shared" si="35"/>
        <v>9.8559674880968978E-2</v>
      </c>
      <c r="W48" s="1"/>
      <c r="X48" s="1">
        <f t="shared" si="36"/>
        <v>-24737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2100</v>
      </c>
      <c r="I49" s="2"/>
      <c r="J49" s="6">
        <f t="shared" si="31"/>
        <v>5.3835110746513537E-2</v>
      </c>
      <c r="K49" s="2"/>
      <c r="L49" s="7">
        <f t="shared" si="32"/>
        <v>-2100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24737</v>
      </c>
      <c r="U49" s="2"/>
      <c r="V49" s="6">
        <f t="shared" si="35"/>
        <v>9.8559674880968978E-2</v>
      </c>
      <c r="W49" s="2"/>
      <c r="X49" s="7">
        <f t="shared" si="36"/>
        <v>-24737</v>
      </c>
      <c r="Y49" s="2"/>
      <c r="Z49" s="6">
        <f t="shared" si="37"/>
        <v>-1</v>
      </c>
    </row>
    <row r="50" spans="1:26" s="25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0.14025328137817883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3"/>
      <c r="P50" s="1">
        <f>SUM(OSRRefP22_5x_0)</f>
        <v>55157.599999999999</v>
      </c>
      <c r="Q50" s="1"/>
      <c r="R50" s="5">
        <f t="shared" si="34"/>
        <v>0</v>
      </c>
      <c r="S50" s="1"/>
      <c r="T50" s="1">
        <f>SUM(OSRRefT22_5x_0)</f>
        <v>55158</v>
      </c>
      <c r="U50" s="1"/>
      <c r="V50" s="5">
        <f t="shared" si="35"/>
        <v>0.21976612148136343</v>
      </c>
      <c r="W50" s="1"/>
      <c r="X50" s="1">
        <f t="shared" si="36"/>
        <v>-0.40000000000145519</v>
      </c>
      <c r="Y50" s="1"/>
      <c r="Z50" s="5">
        <f t="shared" si="37"/>
        <v>-7.2518945574795168E-6</v>
      </c>
    </row>
    <row r="51" spans="1:26" s="24" customFormat="1" hidden="1" outlineLevel="2" x14ac:dyDescent="0.25">
      <c r="A51" s="26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50805.1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50805.1</v>
      </c>
      <c r="Y51" s="2"/>
      <c r="Z51" s="6">
        <f t="shared" si="37"/>
        <v>0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30"/>
        <v>0</v>
      </c>
      <c r="G52" s="2"/>
      <c r="H52" s="7">
        <v>5471</v>
      </c>
      <c r="I52" s="2"/>
      <c r="J52" s="6">
        <f t="shared" si="31"/>
        <v>0.14025328137817883</v>
      </c>
      <c r="K52" s="2"/>
      <c r="L52" s="7">
        <f t="shared" si="32"/>
        <v>-5080.3</v>
      </c>
      <c r="M52" s="2"/>
      <c r="N52" s="6">
        <f t="shared" si="33"/>
        <v>-0.92858709559495523</v>
      </c>
      <c r="O52" s="11"/>
      <c r="P52" s="7">
        <v>4352.5</v>
      </c>
      <c r="Q52" s="2"/>
      <c r="R52" s="6">
        <f t="shared" si="34"/>
        <v>0</v>
      </c>
      <c r="S52" s="2"/>
      <c r="T52" s="7">
        <v>55158</v>
      </c>
      <c r="U52" s="2"/>
      <c r="V52" s="6">
        <f t="shared" si="35"/>
        <v>0.21976612148136343</v>
      </c>
      <c r="W52" s="2"/>
      <c r="X52" s="7">
        <f t="shared" si="36"/>
        <v>-50805.5</v>
      </c>
      <c r="Y52" s="2"/>
      <c r="Z52" s="6">
        <f t="shared" si="37"/>
        <v>-0.92109032234671306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100</v>
      </c>
      <c r="I53" s="1"/>
      <c r="J53" s="5">
        <f t="shared" ref="J53:J67" si="39">IF(H$12=0,0,H53/H$12)</f>
        <v>2.5635767022149304E-3</v>
      </c>
      <c r="K53" s="1"/>
      <c r="L53" s="1">
        <f t="shared" ref="L53:L67" si="40">+D53-H53</f>
        <v>-100</v>
      </c>
      <c r="M53" s="1"/>
      <c r="N53" s="5">
        <f t="shared" ref="N53:N67" si="41">IF(H53=0,0,L53/H53)</f>
        <v>-1</v>
      </c>
      <c r="O53" s="13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150</v>
      </c>
      <c r="U53" s="1"/>
      <c r="V53" s="5">
        <f t="shared" ref="V53:V67" si="43">IF(T$12=0,0,T53/T$12)</f>
        <v>5.9764527760623146E-4</v>
      </c>
      <c r="W53" s="1"/>
      <c r="X53" s="1">
        <f t="shared" ref="X53:X67" si="44">+P53-T53</f>
        <v>-150</v>
      </c>
      <c r="Y53" s="1"/>
      <c r="Z53" s="5">
        <f t="shared" ref="Z53:Z67" si="45">IF(T53=0,0,X53/T53)</f>
        <v>-1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8"/>
        <v>0</v>
      </c>
      <c r="G54" s="2"/>
      <c r="H54" s="7">
        <v>100</v>
      </c>
      <c r="I54" s="2"/>
      <c r="J54" s="6">
        <f t="shared" si="39"/>
        <v>2.5635767022149304E-3</v>
      </c>
      <c r="K54" s="2"/>
      <c r="L54" s="7">
        <f t="shared" si="40"/>
        <v>-100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150</v>
      </c>
      <c r="U54" s="2"/>
      <c r="V54" s="6">
        <f t="shared" si="43"/>
        <v>5.9764527760623146E-4</v>
      </c>
      <c r="W54" s="2"/>
      <c r="X54" s="7">
        <f t="shared" si="44"/>
        <v>-150</v>
      </c>
      <c r="Y54" s="2"/>
      <c r="Z54" s="6">
        <f t="shared" si="45"/>
        <v>-1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176.4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3.7428219852337981E-3</v>
      </c>
      <c r="K55" s="1"/>
      <c r="L55" s="1">
        <f t="shared" si="40"/>
        <v>30.400000000000006</v>
      </c>
      <c r="M55" s="1"/>
      <c r="N55" s="5">
        <f t="shared" si="41"/>
        <v>0.20821917808219181</v>
      </c>
      <c r="O55" s="13"/>
      <c r="P55" s="1">
        <f>SUM(OSRRefP22_7x_0)</f>
        <v>605.35</v>
      </c>
      <c r="Q55" s="1"/>
      <c r="R55" s="5">
        <f t="shared" si="42"/>
        <v>0</v>
      </c>
      <c r="S55" s="1"/>
      <c r="T55" s="1">
        <f>SUM(OSRRefT22_7x_0)</f>
        <v>1022</v>
      </c>
      <c r="U55" s="1"/>
      <c r="V55" s="5">
        <f t="shared" si="43"/>
        <v>4.0719564914237904E-3</v>
      </c>
      <c r="W55" s="1"/>
      <c r="X55" s="1">
        <f t="shared" si="44"/>
        <v>-416.65</v>
      </c>
      <c r="Y55" s="1"/>
      <c r="Z55" s="5">
        <f t="shared" si="45"/>
        <v>-0.40768101761252445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7">
        <v>176.4</v>
      </c>
      <c r="E56" s="2"/>
      <c r="F56" s="6">
        <f t="shared" si="38"/>
        <v>0</v>
      </c>
      <c r="G56" s="2"/>
      <c r="H56" s="7">
        <v>146</v>
      </c>
      <c r="I56" s="2"/>
      <c r="J56" s="6">
        <f t="shared" si="39"/>
        <v>3.7428219852337981E-3</v>
      </c>
      <c r="K56" s="2"/>
      <c r="L56" s="7">
        <f t="shared" si="40"/>
        <v>30.400000000000006</v>
      </c>
      <c r="M56" s="2"/>
      <c r="N56" s="6">
        <f t="shared" si="41"/>
        <v>0.20821917808219181</v>
      </c>
      <c r="O56" s="11"/>
      <c r="P56" s="7">
        <v>605.35</v>
      </c>
      <c r="Q56" s="2"/>
      <c r="R56" s="6">
        <f t="shared" si="42"/>
        <v>0</v>
      </c>
      <c r="S56" s="2"/>
      <c r="T56" s="7">
        <v>1022</v>
      </c>
      <c r="U56" s="2"/>
      <c r="V56" s="6">
        <f t="shared" si="43"/>
        <v>4.0719564914237904E-3</v>
      </c>
      <c r="W56" s="2"/>
      <c r="X56" s="7">
        <f t="shared" si="44"/>
        <v>-416.65</v>
      </c>
      <c r="Y56" s="2"/>
      <c r="Z56" s="6">
        <f t="shared" si="45"/>
        <v>-0.40768101761252445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3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3.1874414805665679E-3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914.55</v>
      </c>
      <c r="Q58" s="2"/>
      <c r="R58" s="6">
        <f t="shared" si="42"/>
        <v>0</v>
      </c>
      <c r="S58" s="2"/>
      <c r="T58" s="7">
        <v>800</v>
      </c>
      <c r="U58" s="2"/>
      <c r="V58" s="6">
        <f t="shared" si="43"/>
        <v>3.1874414805665679E-3</v>
      </c>
      <c r="W58" s="2"/>
      <c r="X58" s="7">
        <f t="shared" si="44"/>
        <v>114.54999999999995</v>
      </c>
      <c r="Y58" s="2"/>
      <c r="Z58" s="6">
        <f t="shared" si="45"/>
        <v>0.14318749999999994</v>
      </c>
    </row>
    <row r="59" spans="1:26" s="25" customFormat="1" outlineLevel="1" collapsed="1" x14ac:dyDescent="0.25">
      <c r="A59" s="27"/>
      <c r="B59" s="13" t="str">
        <f>CONCATENATE("     ","Insurance                                         ")</f>
        <v xml:space="preserve">     Insurance                                         </v>
      </c>
      <c r="C59" s="13"/>
      <c r="D59" s="1">
        <f>SUM(OSRRefD22_9x_0)</f>
        <v>243.54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6.9216570959803117E-3</v>
      </c>
      <c r="K59" s="1"/>
      <c r="L59" s="1">
        <f t="shared" si="40"/>
        <v>-26.460000000000008</v>
      </c>
      <c r="M59" s="1"/>
      <c r="N59" s="5">
        <f t="shared" si="41"/>
        <v>-9.8000000000000032E-2</v>
      </c>
      <c r="O59" s="13"/>
      <c r="P59" s="1">
        <f>SUM(OSRRefP22_9x_0)</f>
        <v>2435.4</v>
      </c>
      <c r="Q59" s="1"/>
      <c r="R59" s="5">
        <f t="shared" si="42"/>
        <v>0</v>
      </c>
      <c r="S59" s="1"/>
      <c r="T59" s="1">
        <f>SUM(OSRRefT22_9x_0)</f>
        <v>2700</v>
      </c>
      <c r="U59" s="1"/>
      <c r="V59" s="5">
        <f t="shared" si="43"/>
        <v>1.0757614996912166E-2</v>
      </c>
      <c r="W59" s="1"/>
      <c r="X59" s="1">
        <f t="shared" si="44"/>
        <v>-264.59999999999991</v>
      </c>
      <c r="Y59" s="1"/>
      <c r="Z59" s="5">
        <f t="shared" si="45"/>
        <v>-9.7999999999999962E-2</v>
      </c>
    </row>
    <row r="60" spans="1:26" s="24" customFormat="1" hidden="1" outlineLevel="2" x14ac:dyDescent="0.25">
      <c r="A60" s="26"/>
      <c r="B60" s="11" t="str">
        <f>CONCATENATE("          ", "6314", " - ", "LIABILITY INSURANCE")</f>
        <v xml:space="preserve">          6314 - LIABILITY INSURANCE</v>
      </c>
      <c r="C60" s="11"/>
      <c r="D60" s="7">
        <v>243.54</v>
      </c>
      <c r="E60" s="2"/>
      <c r="F60" s="6">
        <f t="shared" si="38"/>
        <v>0</v>
      </c>
      <c r="G60" s="2"/>
      <c r="H60" s="7">
        <v>270</v>
      </c>
      <c r="I60" s="2"/>
      <c r="J60" s="6">
        <f t="shared" si="39"/>
        <v>6.9216570959803117E-3</v>
      </c>
      <c r="K60" s="2"/>
      <c r="L60" s="7">
        <f t="shared" si="40"/>
        <v>-26.460000000000008</v>
      </c>
      <c r="M60" s="2"/>
      <c r="N60" s="6">
        <f t="shared" si="41"/>
        <v>-9.8000000000000032E-2</v>
      </c>
      <c r="O60" s="11"/>
      <c r="P60" s="7">
        <v>2435.4</v>
      </c>
      <c r="Q60" s="2"/>
      <c r="R60" s="6">
        <f t="shared" si="42"/>
        <v>0</v>
      </c>
      <c r="S60" s="2"/>
      <c r="T60" s="7">
        <v>2700</v>
      </c>
      <c r="U60" s="2"/>
      <c r="V60" s="6">
        <f t="shared" si="43"/>
        <v>1.0757614996912166E-2</v>
      </c>
      <c r="W60" s="2"/>
      <c r="X60" s="7">
        <f t="shared" si="44"/>
        <v>-264.59999999999991</v>
      </c>
      <c r="Y60" s="2"/>
      <c r="Z60" s="6">
        <f t="shared" si="45"/>
        <v>-9.7999999999999962E-2</v>
      </c>
    </row>
    <row r="61" spans="1:26" s="25" customFormat="1" outlineLevel="1" collapsed="1" x14ac:dyDescent="0.25">
      <c r="A61" s="27"/>
      <c r="B61" s="13" t="str">
        <f>CONCATENATE("     ","Interest                                          ")</f>
        <v xml:space="preserve">     Interest                                          </v>
      </c>
      <c r="C61" s="13"/>
      <c r="D61" s="1">
        <f>SUM(OSRRefD22_10x_0)</f>
        <v>3213</v>
      </c>
      <c r="E61" s="1"/>
      <c r="F61" s="5">
        <f t="shared" si="38"/>
        <v>0</v>
      </c>
      <c r="G61" s="1"/>
      <c r="H61" s="1">
        <f>SUM(OSRRefH22_10x_0)</f>
        <v>4044</v>
      </c>
      <c r="I61" s="1"/>
      <c r="J61" s="5">
        <f t="shared" si="39"/>
        <v>0.10367104183757178</v>
      </c>
      <c r="K61" s="1"/>
      <c r="L61" s="1">
        <f t="shared" si="40"/>
        <v>-831</v>
      </c>
      <c r="M61" s="1"/>
      <c r="N61" s="5">
        <f t="shared" si="41"/>
        <v>-0.20548961424332343</v>
      </c>
      <c r="O61" s="13"/>
      <c r="P61" s="1">
        <f>SUM(OSRRefP22_10x_0)</f>
        <v>39346.85</v>
      </c>
      <c r="Q61" s="1"/>
      <c r="R61" s="5">
        <f t="shared" si="42"/>
        <v>0</v>
      </c>
      <c r="S61" s="1"/>
      <c r="T61" s="1">
        <f>SUM(OSRRefT22_10x_0)</f>
        <v>40440</v>
      </c>
      <c r="U61" s="1"/>
      <c r="V61" s="5">
        <f t="shared" si="43"/>
        <v>0.16112516684264</v>
      </c>
      <c r="W61" s="1"/>
      <c r="X61" s="1">
        <f t="shared" si="44"/>
        <v>-1093.1500000000015</v>
      </c>
      <c r="Y61" s="1"/>
      <c r="Z61" s="5">
        <f t="shared" si="45"/>
        <v>-2.703140454995058E-2</v>
      </c>
    </row>
    <row r="62" spans="1:26" s="24" customFormat="1" hidden="1" outlineLevel="2" x14ac:dyDescent="0.25">
      <c r="A62" s="26"/>
      <c r="B62" s="11" t="str">
        <f>CONCATENATE("          ", "6401", " - ", "INTEREST EXPENSE")</f>
        <v xml:space="preserve">          6401 - INTEREST EXPENSE</v>
      </c>
      <c r="C62" s="11"/>
      <c r="D62" s="7">
        <v>3213</v>
      </c>
      <c r="E62" s="2"/>
      <c r="F62" s="6">
        <f t="shared" si="38"/>
        <v>0</v>
      </c>
      <c r="G62" s="2"/>
      <c r="H62" s="7">
        <v>4044</v>
      </c>
      <c r="I62" s="2"/>
      <c r="J62" s="6">
        <f t="shared" si="39"/>
        <v>0.10367104183757178</v>
      </c>
      <c r="K62" s="2"/>
      <c r="L62" s="7">
        <f t="shared" si="40"/>
        <v>-831</v>
      </c>
      <c r="M62" s="2"/>
      <c r="N62" s="6">
        <f t="shared" si="41"/>
        <v>-0.20548961424332343</v>
      </c>
      <c r="O62" s="11"/>
      <c r="P62" s="7">
        <v>39346.85</v>
      </c>
      <c r="Q62" s="2"/>
      <c r="R62" s="6">
        <f t="shared" si="42"/>
        <v>0</v>
      </c>
      <c r="S62" s="2"/>
      <c r="T62" s="7">
        <v>40440</v>
      </c>
      <c r="U62" s="2"/>
      <c r="V62" s="6">
        <f t="shared" si="43"/>
        <v>0.16112516684264</v>
      </c>
      <c r="W62" s="2"/>
      <c r="X62" s="7">
        <f t="shared" si="44"/>
        <v>-1093.1500000000015</v>
      </c>
      <c r="Y62" s="2"/>
      <c r="Z62" s="6">
        <f t="shared" si="45"/>
        <v>-2.703140454995058E-2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SUM(OSRRefD22_11x_0)</f>
        <v>0</v>
      </c>
      <c r="E63" s="1"/>
      <c r="F63" s="5">
        <f t="shared" si="38"/>
        <v>0</v>
      </c>
      <c r="G63" s="1"/>
      <c r="H63" s="1">
        <f>SUM(OSRRefH22_11x_0)</f>
        <v>0</v>
      </c>
      <c r="I63" s="1"/>
      <c r="J63" s="5">
        <f t="shared" si="39"/>
        <v>0</v>
      </c>
      <c r="K63" s="1"/>
      <c r="L63" s="1">
        <f t="shared" si="40"/>
        <v>0</v>
      </c>
      <c r="M63" s="1"/>
      <c r="N63" s="5">
        <f t="shared" si="41"/>
        <v>0</v>
      </c>
      <c r="O63" s="13"/>
      <c r="P63" s="1">
        <f>SUM(OSRRefP22_11x_0)</f>
        <v>637.16000000000008</v>
      </c>
      <c r="Q63" s="1"/>
      <c r="R63" s="5">
        <f t="shared" si="42"/>
        <v>0</v>
      </c>
      <c r="S63" s="1"/>
      <c r="T63" s="1">
        <f>SUM(OSRRefT22_11x_0)</f>
        <v>1227</v>
      </c>
      <c r="U63" s="1"/>
      <c r="V63" s="5">
        <f t="shared" si="43"/>
        <v>4.8887383708189729E-3</v>
      </c>
      <c r="W63" s="1"/>
      <c r="X63" s="1">
        <f t="shared" si="44"/>
        <v>-589.83999999999992</v>
      </c>
      <c r="Y63" s="1"/>
      <c r="Z63" s="5">
        <f t="shared" si="45"/>
        <v>-0.48071719641401789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/>
      <c r="Q64" s="2"/>
      <c r="R64" s="6">
        <f t="shared" si="42"/>
        <v>0</v>
      </c>
      <c r="S64" s="2"/>
      <c r="T64" s="7">
        <v>43</v>
      </c>
      <c r="U64" s="2"/>
      <c r="V64" s="6">
        <f t="shared" si="43"/>
        <v>1.7132497958045301E-4</v>
      </c>
      <c r="W64" s="2"/>
      <c r="X64" s="7">
        <f t="shared" si="44"/>
        <v>-43</v>
      </c>
      <c r="Y64" s="2"/>
      <c r="Z64" s="6">
        <f t="shared" si="45"/>
        <v>-1</v>
      </c>
    </row>
    <row r="65" spans="1:26" s="24" customFormat="1" hidden="1" outlineLevel="2" x14ac:dyDescent="0.25">
      <c r="A65" s="26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437</v>
      </c>
      <c r="U65" s="2"/>
      <c r="V65" s="6">
        <f t="shared" si="43"/>
        <v>1.7411399087594876E-3</v>
      </c>
      <c r="W65" s="2"/>
      <c r="X65" s="7">
        <f t="shared" si="44"/>
        <v>-437</v>
      </c>
      <c r="Y65" s="2"/>
      <c r="Z65" s="6">
        <f t="shared" si="45"/>
        <v>-1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38"/>
        <v>0</v>
      </c>
      <c r="G66" s="2"/>
      <c r="H66" s="7"/>
      <c r="I66" s="2"/>
      <c r="J66" s="6">
        <f t="shared" si="39"/>
        <v>0</v>
      </c>
      <c r="K66" s="2"/>
      <c r="L66" s="7">
        <f t="shared" si="40"/>
        <v>0</v>
      </c>
      <c r="M66" s="2"/>
      <c r="N66" s="6">
        <f t="shared" si="41"/>
        <v>0</v>
      </c>
      <c r="O66" s="11"/>
      <c r="P66" s="7">
        <v>404.16</v>
      </c>
      <c r="Q66" s="2"/>
      <c r="R66" s="6">
        <f t="shared" si="42"/>
        <v>0</v>
      </c>
      <c r="S66" s="2"/>
      <c r="T66" s="7">
        <v>231</v>
      </c>
      <c r="U66" s="2"/>
      <c r="V66" s="6">
        <f t="shared" si="43"/>
        <v>9.203737275135964E-4</v>
      </c>
      <c r="W66" s="2"/>
      <c r="X66" s="7">
        <f t="shared" si="44"/>
        <v>173.16000000000003</v>
      </c>
      <c r="Y66" s="2"/>
      <c r="Z66" s="6">
        <f t="shared" si="45"/>
        <v>0.74961038961038973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8"/>
        <v>0</v>
      </c>
      <c r="G67" s="2"/>
      <c r="H67" s="7"/>
      <c r="I67" s="2"/>
      <c r="J67" s="6">
        <f t="shared" si="39"/>
        <v>0</v>
      </c>
      <c r="K67" s="2"/>
      <c r="L67" s="7">
        <f t="shared" si="40"/>
        <v>0</v>
      </c>
      <c r="M67" s="2"/>
      <c r="N67" s="6">
        <f t="shared" si="41"/>
        <v>0</v>
      </c>
      <c r="O67" s="11"/>
      <c r="P67" s="7">
        <v>233</v>
      </c>
      <c r="Q67" s="2"/>
      <c r="R67" s="6">
        <f t="shared" si="42"/>
        <v>0</v>
      </c>
      <c r="S67" s="2"/>
      <c r="T67" s="7">
        <v>516</v>
      </c>
      <c r="U67" s="2"/>
      <c r="V67" s="6">
        <f t="shared" si="43"/>
        <v>2.055899754965436E-3</v>
      </c>
      <c r="W67" s="2"/>
      <c r="X67" s="7">
        <f t="shared" si="44"/>
        <v>-283</v>
      </c>
      <c r="Y67" s="2"/>
      <c r="Z67" s="6">
        <f t="shared" si="45"/>
        <v>-0.54844961240310075</v>
      </c>
    </row>
    <row r="68" spans="1:26" s="25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289</v>
      </c>
      <c r="E68" s="1"/>
      <c r="F68" s="5">
        <f t="shared" ref="F68:F71" si="46">IF(D$12=0,0,D68/D$12)</f>
        <v>0</v>
      </c>
      <c r="G68" s="1"/>
      <c r="H68" s="1">
        <f>SUM(OSRRefH22_12x_0)</f>
        <v>393</v>
      </c>
      <c r="I68" s="1"/>
      <c r="J68" s="5">
        <f t="shared" ref="J68:J71" si="47">IF(H$12=0,0,H68/H$12)</f>
        <v>1.0074856439704676E-2</v>
      </c>
      <c r="K68" s="1"/>
      <c r="L68" s="1">
        <f t="shared" ref="L68:L71" si="48">+D68-H68</f>
        <v>-104</v>
      </c>
      <c r="M68" s="1"/>
      <c r="N68" s="5">
        <f t="shared" ref="N68:N71" si="49">IF(H68=0,0,L68/H68)</f>
        <v>-0.26463104325699743</v>
      </c>
      <c r="O68" s="13"/>
      <c r="P68" s="1">
        <f>SUM(OSRRefP22_12x_0)</f>
        <v>1950.75</v>
      </c>
      <c r="Q68" s="1"/>
      <c r="R68" s="5">
        <f t="shared" ref="R68:R71" si="50">IF(P$12=0,0,P68/P$12)</f>
        <v>0</v>
      </c>
      <c r="S68" s="1"/>
      <c r="T68" s="1">
        <f>SUM(OSRRefT22_12x_0)</f>
        <v>5338</v>
      </c>
      <c r="U68" s="1"/>
      <c r="V68" s="5">
        <f t="shared" ref="V68:V71" si="51">IF(T$12=0,0,T68/T$12)</f>
        <v>2.1268203279080425E-2</v>
      </c>
      <c r="W68" s="1"/>
      <c r="X68" s="1">
        <f t="shared" ref="X68:X71" si="52">+P68-T68</f>
        <v>-3387.25</v>
      </c>
      <c r="Y68" s="1"/>
      <c r="Z68" s="5">
        <f t="shared" ref="Z68:Z71" si="53">IF(T68=0,0,X68/T68)</f>
        <v>-0.63455414012738853</v>
      </c>
    </row>
    <row r="69" spans="1:26" s="24" customFormat="1" hidden="1" outlineLevel="2" x14ac:dyDescent="0.25">
      <c r="A69" s="26"/>
      <c r="B69" s="11" t="str">
        <f>CONCATENATE("          ", "6282", " - ", "JANITORIAL/EXTERMINATOR EXPENS")</f>
        <v xml:space="preserve">          6282 - JANITORIAL/EXTERMINATOR EXPENS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>
        <v>786.75</v>
      </c>
      <c r="Q69" s="2"/>
      <c r="R69" s="6">
        <f t="shared" si="50"/>
        <v>0</v>
      </c>
      <c r="S69" s="2"/>
      <c r="T69" s="7">
        <v>1416</v>
      </c>
      <c r="U69" s="2"/>
      <c r="V69" s="6">
        <f t="shared" si="51"/>
        <v>5.6417714206028246E-3</v>
      </c>
      <c r="W69" s="2"/>
      <c r="X69" s="7">
        <f t="shared" si="52"/>
        <v>-629.25</v>
      </c>
      <c r="Y69" s="2"/>
      <c r="Z69" s="6">
        <f t="shared" si="53"/>
        <v>-0.44438559322033899</v>
      </c>
    </row>
    <row r="70" spans="1:26" s="24" customFormat="1" hidden="1" outlineLevel="2" x14ac:dyDescent="0.25">
      <c r="A70" s="26"/>
      <c r="B70" s="11" t="str">
        <f>CONCATENATE("          ", "6284", " - ", "TRASH REMOVAL EXPENSE")</f>
        <v xml:space="preserve">          6284 - TRASH REMOVAL EXPENSE</v>
      </c>
      <c r="C70" s="11"/>
      <c r="D70" s="7">
        <v>289</v>
      </c>
      <c r="E70" s="2"/>
      <c r="F70" s="6">
        <f t="shared" si="46"/>
        <v>0</v>
      </c>
      <c r="G70" s="2"/>
      <c r="H70" s="7">
        <v>289</v>
      </c>
      <c r="I70" s="2"/>
      <c r="J70" s="6">
        <f t="shared" si="47"/>
        <v>7.4087366694011482E-3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>
        <v>1164</v>
      </c>
      <c r="Q70" s="2"/>
      <c r="R70" s="6">
        <f t="shared" si="50"/>
        <v>0</v>
      </c>
      <c r="S70" s="2"/>
      <c r="T70" s="7">
        <v>2889</v>
      </c>
      <c r="U70" s="2"/>
      <c r="V70" s="6">
        <f t="shared" si="51"/>
        <v>1.1510648046696017E-2</v>
      </c>
      <c r="W70" s="2"/>
      <c r="X70" s="7">
        <f t="shared" si="52"/>
        <v>-1725</v>
      </c>
      <c r="Y70" s="2"/>
      <c r="Z70" s="6">
        <f t="shared" si="53"/>
        <v>-0.59709241952232606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6"/>
        <v>0</v>
      </c>
      <c r="G71" s="2"/>
      <c r="H71" s="7">
        <v>104</v>
      </c>
      <c r="I71" s="2"/>
      <c r="J71" s="6">
        <f t="shared" si="47"/>
        <v>2.6661197703035273E-3</v>
      </c>
      <c r="K71" s="2"/>
      <c r="L71" s="7">
        <f t="shared" si="48"/>
        <v>-104</v>
      </c>
      <c r="M71" s="2"/>
      <c r="N71" s="6">
        <f t="shared" si="49"/>
        <v>-1</v>
      </c>
      <c r="O71" s="11"/>
      <c r="P71" s="7"/>
      <c r="Q71" s="2"/>
      <c r="R71" s="6">
        <f t="shared" si="50"/>
        <v>0</v>
      </c>
      <c r="S71" s="2"/>
      <c r="T71" s="7">
        <v>1033</v>
      </c>
      <c r="U71" s="2"/>
      <c r="V71" s="6">
        <f t="shared" si="51"/>
        <v>4.1157838117815808E-3</v>
      </c>
      <c r="W71" s="2"/>
      <c r="X71" s="7">
        <f t="shared" si="52"/>
        <v>-1033</v>
      </c>
      <c r="Y71" s="2"/>
      <c r="Z71" s="6">
        <f t="shared" si="53"/>
        <v>-1</v>
      </c>
    </row>
    <row r="72" spans="1:26" s="25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4.5118949958982777E-3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3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1760</v>
      </c>
      <c r="U72" s="1"/>
      <c r="V72" s="5">
        <f t="shared" ref="V72:V79" si="59">IF(T$12=0,0,T72/T$12)</f>
        <v>7.0123712572464489E-3</v>
      </c>
      <c r="W72" s="1"/>
      <c r="X72" s="1">
        <f t="shared" ref="X72:X79" si="60">+P72-T72</f>
        <v>-1760</v>
      </c>
      <c r="Y72" s="1"/>
      <c r="Z72" s="5">
        <f t="shared" ref="Z72:Z79" si="61">IF(T72=0,0,X72/T72)</f>
        <v>-1</v>
      </c>
    </row>
    <row r="73" spans="1:26" s="24" customFormat="1" hidden="1" outlineLevel="2" x14ac:dyDescent="0.25">
      <c r="A73" s="26"/>
      <c r="B73" s="11" t="str">
        <f>CONCATENATE("          ", "6275", " - ", "SUBSCRIPTIONS")</f>
        <v xml:space="preserve">          6275 - SUBSCRIPTIONS</v>
      </c>
      <c r="C73" s="11"/>
      <c r="D73" s="7"/>
      <c r="E73" s="2"/>
      <c r="F73" s="6">
        <f t="shared" si="54"/>
        <v>0</v>
      </c>
      <c r="G73" s="2"/>
      <c r="H73" s="7">
        <v>176</v>
      </c>
      <c r="I73" s="2"/>
      <c r="J73" s="6">
        <f t="shared" si="55"/>
        <v>4.5118949958982777E-3</v>
      </c>
      <c r="K73" s="2"/>
      <c r="L73" s="7">
        <f t="shared" si="56"/>
        <v>-176</v>
      </c>
      <c r="M73" s="2"/>
      <c r="N73" s="6">
        <f t="shared" si="57"/>
        <v>-1</v>
      </c>
      <c r="O73" s="11"/>
      <c r="P73" s="7"/>
      <c r="Q73" s="2"/>
      <c r="R73" s="6">
        <f t="shared" si="58"/>
        <v>0</v>
      </c>
      <c r="S73" s="2"/>
      <c r="T73" s="7">
        <v>1760</v>
      </c>
      <c r="U73" s="2"/>
      <c r="V73" s="6">
        <f t="shared" si="59"/>
        <v>7.0123712572464489E-3</v>
      </c>
      <c r="W73" s="2"/>
      <c r="X73" s="7">
        <f t="shared" si="60"/>
        <v>-1760</v>
      </c>
      <c r="Y73" s="2"/>
      <c r="Z73" s="6">
        <f t="shared" si="61"/>
        <v>-1</v>
      </c>
    </row>
    <row r="74" spans="1:26" s="25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852</v>
      </c>
      <c r="I74" s="1"/>
      <c r="J74" s="5">
        <f t="shared" si="55"/>
        <v>2.1841673502871205E-2</v>
      </c>
      <c r="K74" s="1"/>
      <c r="L74" s="1">
        <f t="shared" si="56"/>
        <v>-852</v>
      </c>
      <c r="M74" s="1"/>
      <c r="N74" s="5">
        <f t="shared" si="57"/>
        <v>-1</v>
      </c>
      <c r="O74" s="13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13368</v>
      </c>
      <c r="U74" s="1"/>
      <c r="V74" s="5">
        <f t="shared" si="59"/>
        <v>5.3262147140267349E-2</v>
      </c>
      <c r="W74" s="1"/>
      <c r="X74" s="1">
        <f t="shared" si="60"/>
        <v>-12733.76</v>
      </c>
      <c r="Y74" s="1"/>
      <c r="Z74" s="5">
        <f t="shared" si="61"/>
        <v>-0.95255535607420705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>
        <v>316.67</v>
      </c>
      <c r="Q75" s="2"/>
      <c r="R75" s="6">
        <f t="shared" si="58"/>
        <v>0</v>
      </c>
      <c r="S75" s="2"/>
      <c r="T75" s="7">
        <v>28</v>
      </c>
      <c r="U75" s="2"/>
      <c r="V75" s="6">
        <f t="shared" si="59"/>
        <v>1.1156045181982986E-4</v>
      </c>
      <c r="W75" s="2"/>
      <c r="X75" s="7">
        <f t="shared" si="60"/>
        <v>288.67</v>
      </c>
      <c r="Y75" s="2"/>
      <c r="Z75" s="6">
        <f t="shared" si="61"/>
        <v>10.309642857142858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4"/>
        <v>0</v>
      </c>
      <c r="G76" s="2"/>
      <c r="H76" s="7">
        <v>200</v>
      </c>
      <c r="I76" s="2"/>
      <c r="J76" s="6">
        <f t="shared" si="55"/>
        <v>5.1271534044298609E-3</v>
      </c>
      <c r="K76" s="2"/>
      <c r="L76" s="7">
        <f t="shared" si="56"/>
        <v>-200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2700</v>
      </c>
      <c r="U76" s="2"/>
      <c r="V76" s="6">
        <f t="shared" si="59"/>
        <v>1.0757614996912166E-2</v>
      </c>
      <c r="W76" s="2"/>
      <c r="X76" s="7">
        <f t="shared" si="60"/>
        <v>-2700</v>
      </c>
      <c r="Y76" s="2"/>
      <c r="Z76" s="6">
        <f t="shared" si="61"/>
        <v>-1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54"/>
        <v>0</v>
      </c>
      <c r="G77" s="2"/>
      <c r="H77" s="7">
        <v>502</v>
      </c>
      <c r="I77" s="2"/>
      <c r="J77" s="6">
        <f t="shared" si="55"/>
        <v>1.286915504511895E-2</v>
      </c>
      <c r="K77" s="2"/>
      <c r="L77" s="7">
        <f t="shared" si="56"/>
        <v>-502</v>
      </c>
      <c r="M77" s="2"/>
      <c r="N77" s="6">
        <f t="shared" si="57"/>
        <v>-1</v>
      </c>
      <c r="O77" s="11"/>
      <c r="P77" s="7">
        <v>317.57</v>
      </c>
      <c r="Q77" s="2"/>
      <c r="R77" s="6">
        <f t="shared" si="58"/>
        <v>0</v>
      </c>
      <c r="S77" s="2"/>
      <c r="T77" s="7">
        <v>1424</v>
      </c>
      <c r="U77" s="2"/>
      <c r="V77" s="6">
        <f t="shared" si="59"/>
        <v>5.6736458354084904E-3</v>
      </c>
      <c r="W77" s="2"/>
      <c r="X77" s="7">
        <f t="shared" si="60"/>
        <v>-1106.43</v>
      </c>
      <c r="Y77" s="2"/>
      <c r="Z77" s="6">
        <f t="shared" si="61"/>
        <v>-0.77698735955056186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4"/>
        <v>0</v>
      </c>
      <c r="G78" s="2"/>
      <c r="H78" s="7">
        <v>150</v>
      </c>
      <c r="I78" s="2"/>
      <c r="J78" s="6">
        <f t="shared" si="55"/>
        <v>3.8453650533223954E-3</v>
      </c>
      <c r="K78" s="2"/>
      <c r="L78" s="7">
        <f t="shared" si="56"/>
        <v>-150</v>
      </c>
      <c r="M78" s="2"/>
      <c r="N78" s="6">
        <f t="shared" si="57"/>
        <v>-1</v>
      </c>
      <c r="O78" s="11"/>
      <c r="P78" s="7"/>
      <c r="Q78" s="2"/>
      <c r="R78" s="6">
        <f t="shared" si="58"/>
        <v>0</v>
      </c>
      <c r="S78" s="2"/>
      <c r="T78" s="7">
        <v>1422</v>
      </c>
      <c r="U78" s="2"/>
      <c r="V78" s="6">
        <f t="shared" si="59"/>
        <v>5.6656772317070737E-3</v>
      </c>
      <c r="W78" s="2"/>
      <c r="X78" s="7">
        <f t="shared" si="60"/>
        <v>-1422</v>
      </c>
      <c r="Y78" s="2"/>
      <c r="Z78" s="6">
        <f t="shared" si="61"/>
        <v>-1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7794</v>
      </c>
      <c r="U79" s="2"/>
      <c r="V79" s="6">
        <f t="shared" si="59"/>
        <v>3.1053648624419786E-2</v>
      </c>
      <c r="W79" s="2"/>
      <c r="X79" s="7">
        <f t="shared" si="60"/>
        <v>-7794</v>
      </c>
      <c r="Y79" s="2"/>
      <c r="Z79" s="6">
        <f t="shared" si="61"/>
        <v>-1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172</v>
      </c>
      <c r="E80" s="1"/>
      <c r="F80" s="5">
        <f t="shared" ref="F80:F82" si="62">IF(D$12=0,0,D80/D$12)</f>
        <v>0</v>
      </c>
      <c r="G80" s="1"/>
      <c r="H80" s="1">
        <f>SUM(OSRRefH22_15x_0)</f>
        <v>190</v>
      </c>
      <c r="I80" s="1"/>
      <c r="J80" s="5">
        <f t="shared" ref="J80:J82" si="63">IF(H$12=0,0,H80/H$12)</f>
        <v>4.8707957342083675E-3</v>
      </c>
      <c r="K80" s="1"/>
      <c r="L80" s="1">
        <f t="shared" ref="L80:L82" si="64">+D80-H80</f>
        <v>-18</v>
      </c>
      <c r="M80" s="1"/>
      <c r="N80" s="5">
        <f t="shared" ref="N80:N82" si="65">IF(H80=0,0,L80/H80)</f>
        <v>-9.4736842105263161E-2</v>
      </c>
      <c r="O80" s="13"/>
      <c r="P80" s="1">
        <f>SUM(OSRRefP22_15x_0)</f>
        <v>1125.8699999999999</v>
      </c>
      <c r="Q80" s="1"/>
      <c r="R80" s="5">
        <f t="shared" ref="R80:R82" si="66">IF(P$12=0,0,P80/P$12)</f>
        <v>0</v>
      </c>
      <c r="S80" s="1"/>
      <c r="T80" s="1">
        <f>SUM(OSRRefT22_15x_0)</f>
        <v>995</v>
      </c>
      <c r="U80" s="1"/>
      <c r="V80" s="5">
        <f t="shared" ref="V80:V82" si="67">IF(T$12=0,0,T80/T$12)</f>
        <v>3.9643803414546683E-3</v>
      </c>
      <c r="W80" s="1"/>
      <c r="X80" s="1">
        <f t="shared" ref="X80:X82" si="68">+P80-T80</f>
        <v>130.86999999999989</v>
      </c>
      <c r="Y80" s="1"/>
      <c r="Z80" s="5">
        <f t="shared" ref="Z80:Z82" si="69">IF(T80=0,0,X80/T80)</f>
        <v>0.13152763819095467</v>
      </c>
    </row>
    <row r="81" spans="1:26" s="24" customFormat="1" hidden="1" outlineLevel="2" x14ac:dyDescent="0.25">
      <c r="A81" s="26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2"/>
        <v>0</v>
      </c>
      <c r="G81" s="2"/>
      <c r="H81" s="7">
        <v>40</v>
      </c>
      <c r="I81" s="2"/>
      <c r="J81" s="6">
        <f t="shared" si="63"/>
        <v>1.0254306808859721E-3</v>
      </c>
      <c r="K81" s="2"/>
      <c r="L81" s="7">
        <f t="shared" si="64"/>
        <v>-40</v>
      </c>
      <c r="M81" s="2"/>
      <c r="N81" s="6">
        <f t="shared" si="65"/>
        <v>-1</v>
      </c>
      <c r="O81" s="11"/>
      <c r="P81" s="7"/>
      <c r="Q81" s="2"/>
      <c r="R81" s="6">
        <f t="shared" si="66"/>
        <v>0</v>
      </c>
      <c r="S81" s="2"/>
      <c r="T81" s="7">
        <v>395</v>
      </c>
      <c r="U81" s="2"/>
      <c r="V81" s="6">
        <f t="shared" si="67"/>
        <v>1.5737992310297427E-3</v>
      </c>
      <c r="W81" s="2"/>
      <c r="X81" s="7">
        <f t="shared" si="68"/>
        <v>-395</v>
      </c>
      <c r="Y81" s="2"/>
      <c r="Z81" s="6">
        <f t="shared" si="69"/>
        <v>-1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7">
        <v>172</v>
      </c>
      <c r="E82" s="2"/>
      <c r="F82" s="6">
        <f t="shared" si="62"/>
        <v>0</v>
      </c>
      <c r="G82" s="2"/>
      <c r="H82" s="7">
        <v>150</v>
      </c>
      <c r="I82" s="2"/>
      <c r="J82" s="6">
        <f t="shared" si="63"/>
        <v>3.8453650533223954E-3</v>
      </c>
      <c r="K82" s="2"/>
      <c r="L82" s="7">
        <f t="shared" si="64"/>
        <v>22</v>
      </c>
      <c r="M82" s="2"/>
      <c r="N82" s="6">
        <f t="shared" si="65"/>
        <v>0.14666666666666667</v>
      </c>
      <c r="O82" s="11"/>
      <c r="P82" s="7">
        <v>1125.8699999999999</v>
      </c>
      <c r="Q82" s="2"/>
      <c r="R82" s="6">
        <f t="shared" si="66"/>
        <v>0</v>
      </c>
      <c r="S82" s="2"/>
      <c r="T82" s="7">
        <v>600</v>
      </c>
      <c r="U82" s="2"/>
      <c r="V82" s="6">
        <f t="shared" si="67"/>
        <v>2.3905811104249258E-3</v>
      </c>
      <c r="W82" s="2"/>
      <c r="X82" s="7">
        <f t="shared" si="68"/>
        <v>525.86999999999989</v>
      </c>
      <c r="Y82" s="2"/>
      <c r="Z82" s="6">
        <f t="shared" si="69"/>
        <v>0.87644999999999984</v>
      </c>
    </row>
    <row r="83" spans="1:26" s="25" customFormat="1" outlineLevel="1" collapsed="1" x14ac:dyDescent="0.25">
      <c r="A83" s="27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3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5.9764527760623144E-3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25">
      <c r="A84" s="26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70"/>
        <v>0</v>
      </c>
      <c r="G84" s="2"/>
      <c r="H84" s="7"/>
      <c r="I84" s="2"/>
      <c r="J84" s="6">
        <f t="shared" si="71"/>
        <v>0</v>
      </c>
      <c r="K84" s="2"/>
      <c r="L84" s="7">
        <f t="shared" si="72"/>
        <v>0</v>
      </c>
      <c r="M84" s="2"/>
      <c r="N84" s="6">
        <f t="shared" si="73"/>
        <v>0</v>
      </c>
      <c r="O84" s="11"/>
      <c r="P84" s="7"/>
      <c r="Q84" s="2"/>
      <c r="R84" s="6">
        <f t="shared" si="74"/>
        <v>0</v>
      </c>
      <c r="S84" s="2"/>
      <c r="T84" s="7">
        <v>1500</v>
      </c>
      <c r="U84" s="2"/>
      <c r="V84" s="6">
        <f t="shared" si="75"/>
        <v>5.9764527760623144E-3</v>
      </c>
      <c r="W84" s="2"/>
      <c r="X84" s="7">
        <f t="shared" si="76"/>
        <v>-1500</v>
      </c>
      <c r="Y84" s="2"/>
      <c r="Z84" s="6">
        <f t="shared" si="77"/>
        <v>-1</v>
      </c>
    </row>
    <row r="85" spans="1:26" s="25" customFormat="1" outlineLevel="1" collapsed="1" x14ac:dyDescent="0.25">
      <c r="A85" s="27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SUM(OSRRefD22_17x_0)</f>
        <v>878</v>
      </c>
      <c r="E85" s="1"/>
      <c r="F85" s="5">
        <f t="shared" si="70"/>
        <v>0</v>
      </c>
      <c r="G85" s="1"/>
      <c r="H85" s="1">
        <f>SUM(OSRRefH22_17x_0)</f>
        <v>800</v>
      </c>
      <c r="I85" s="1"/>
      <c r="J85" s="5">
        <f t="shared" si="71"/>
        <v>2.0508613617719443E-2</v>
      </c>
      <c r="K85" s="1"/>
      <c r="L85" s="1">
        <f t="shared" si="72"/>
        <v>78</v>
      </c>
      <c r="M85" s="1"/>
      <c r="N85" s="5">
        <f t="shared" si="73"/>
        <v>9.7500000000000003E-2</v>
      </c>
      <c r="O85" s="13"/>
      <c r="P85" s="1">
        <f>SUM(OSRRefP22_17x_0)</f>
        <v>4329</v>
      </c>
      <c r="Q85" s="1"/>
      <c r="R85" s="5">
        <f t="shared" si="74"/>
        <v>0</v>
      </c>
      <c r="S85" s="1"/>
      <c r="T85" s="1">
        <f>SUM(OSRRefT22_17x_0)</f>
        <v>8294</v>
      </c>
      <c r="U85" s="1"/>
      <c r="V85" s="5">
        <f t="shared" si="75"/>
        <v>3.3045799549773894E-2</v>
      </c>
      <c r="W85" s="1"/>
      <c r="X85" s="1">
        <f t="shared" si="76"/>
        <v>-3965</v>
      </c>
      <c r="Y85" s="1"/>
      <c r="Z85" s="5">
        <f t="shared" si="77"/>
        <v>-0.4780564263322884</v>
      </c>
    </row>
    <row r="86" spans="1:26" s="24" customFormat="1" hidden="1" outlineLevel="2" x14ac:dyDescent="0.25">
      <c r="A86" s="26"/>
      <c r="B86" s="11" t="str">
        <f>CONCATENATE("          ", "6274", " - ", "UTILITIES")</f>
        <v xml:space="preserve">          6274 - UTILITIES</v>
      </c>
      <c r="C86" s="11"/>
      <c r="D86" s="7">
        <v>878</v>
      </c>
      <c r="E86" s="2"/>
      <c r="F86" s="6">
        <f t="shared" si="70"/>
        <v>0</v>
      </c>
      <c r="G86" s="2"/>
      <c r="H86" s="7">
        <v>800</v>
      </c>
      <c r="I86" s="2"/>
      <c r="J86" s="6">
        <f t="shared" si="71"/>
        <v>2.0508613617719443E-2</v>
      </c>
      <c r="K86" s="2"/>
      <c r="L86" s="7">
        <f t="shared" si="72"/>
        <v>78</v>
      </c>
      <c r="M86" s="2"/>
      <c r="N86" s="6">
        <f t="shared" si="73"/>
        <v>9.7500000000000003E-2</v>
      </c>
      <c r="O86" s="11"/>
      <c r="P86" s="7">
        <v>4329</v>
      </c>
      <c r="Q86" s="2"/>
      <c r="R86" s="6">
        <f t="shared" si="74"/>
        <v>0</v>
      </c>
      <c r="S86" s="2"/>
      <c r="T86" s="7">
        <v>8294</v>
      </c>
      <c r="U86" s="2"/>
      <c r="V86" s="6">
        <f t="shared" si="75"/>
        <v>3.3045799549773894E-2</v>
      </c>
      <c r="W86" s="2"/>
      <c r="X86" s="7">
        <f t="shared" si="76"/>
        <v>-3965</v>
      </c>
      <c r="Y86" s="2"/>
      <c r="Z86" s="6">
        <f t="shared" si="77"/>
        <v>-0.4780564263322884</v>
      </c>
    </row>
    <row r="87" spans="1:26" s="61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277</v>
      </c>
      <c r="C90" s="28"/>
      <c r="D90" s="21">
        <f>+D21-D23+D88</f>
        <v>-10619.55</v>
      </c>
      <c r="E90" s="14"/>
      <c r="F90" s="20">
        <f>IF(D$12=0,0,D90/D$12)</f>
        <v>0</v>
      </c>
      <c r="G90" s="14"/>
      <c r="H90" s="21">
        <f>+H21-H23+H88</f>
        <v>-9551.5380000000005</v>
      </c>
      <c r="I90" s="14"/>
      <c r="J90" s="20">
        <f>IF(H$12=0,0,H90/H$12)</f>
        <v>-0.24486100287120591</v>
      </c>
      <c r="K90" s="16"/>
      <c r="L90" s="21">
        <f>+D90-H90</f>
        <v>-1068.0119999999988</v>
      </c>
      <c r="M90" s="16"/>
      <c r="N90" s="20">
        <f>IF(H90=0,0,L90/H90)</f>
        <v>0.11181570967942532</v>
      </c>
      <c r="O90" s="29"/>
      <c r="P90" s="21">
        <f>+P21-P23+P88</f>
        <v>-121904.53</v>
      </c>
      <c r="Q90" s="14"/>
      <c r="R90" s="20">
        <f>IF(P$12=0,0,P90/P$12)</f>
        <v>0</v>
      </c>
      <c r="S90" s="14"/>
      <c r="T90" s="21">
        <f>+T21-T23+T88</f>
        <v>-140070.73096800002</v>
      </c>
      <c r="U90" s="14"/>
      <c r="V90" s="20">
        <f>IF(T$12=0,0,T90/T$12)</f>
        <v>-0.55808407262585424</v>
      </c>
      <c r="W90" s="16"/>
      <c r="X90" s="21">
        <f>+P90-T90</f>
        <v>18166.200968000019</v>
      </c>
      <c r="Y90" s="16"/>
      <c r="Z90" s="20">
        <f>IF(T90=0,0,X90/T90)</f>
        <v>-0.1296930546621492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/>
      <c r="E92" s="4"/>
      <c r="F92" s="12">
        <f>IF(D$12=0,0,D92/D$12)</f>
        <v>0</v>
      </c>
      <c r="G92" s="4"/>
      <c r="H92" s="4">
        <v>7979</v>
      </c>
      <c r="I92" s="4"/>
      <c r="J92" s="12">
        <f>IF(H$12=0,0,H92/H$12)</f>
        <v>0.20454778506972929</v>
      </c>
      <c r="K92" s="4"/>
      <c r="L92" s="4">
        <f>+D92-H92</f>
        <v>-7979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45464</v>
      </c>
      <c r="U92" s="4"/>
      <c r="V92" s="12">
        <f>IF(T$12=0,0,T92/T$12)</f>
        <v>0.18114229934059806</v>
      </c>
      <c r="W92" s="4"/>
      <c r="X92" s="4">
        <f>+P92-T92</f>
        <v>-45464</v>
      </c>
      <c r="Y92" s="4"/>
      <c r="Z92" s="12">
        <f>IF(T92=0,0,X92/T92)</f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126</v>
      </c>
      <c r="C94" s="28"/>
      <c r="D94" s="31">
        <f>+D90-D92</f>
        <v>-10619.55</v>
      </c>
      <c r="E94" s="14"/>
      <c r="F94" s="33">
        <f>IF(D$12=0,0,D94/D$12)</f>
        <v>0</v>
      </c>
      <c r="G94" s="14"/>
      <c r="H94" s="31">
        <f>+H90-H92</f>
        <v>-17530.538</v>
      </c>
      <c r="I94" s="14"/>
      <c r="J94" s="33">
        <f>IF(H$12=0,0,H94/H$12)</f>
        <v>-0.44940878794093519</v>
      </c>
      <c r="K94" s="16"/>
      <c r="L94" s="31">
        <f>D94-H94</f>
        <v>6910.9880000000012</v>
      </c>
      <c r="M94" s="16"/>
      <c r="N94" s="33">
        <f>IF(H94=0,0,L94/H94)</f>
        <v>-0.39422566495107003</v>
      </c>
      <c r="O94" s="29"/>
      <c r="P94" s="31">
        <f>+P90-P92</f>
        <v>-121904.53</v>
      </c>
      <c r="Q94" s="14"/>
      <c r="R94" s="33">
        <f>IF(P$12=0,0,P94/P$12)</f>
        <v>0</v>
      </c>
      <c r="S94" s="14"/>
      <c r="T94" s="31">
        <f>+T90-T92</f>
        <v>-185534.73096800002</v>
      </c>
      <c r="U94" s="14"/>
      <c r="V94" s="33">
        <f>IF(T$12=0,0,T94/T$12)</f>
        <v>-0.73922637196645224</v>
      </c>
      <c r="W94" s="16"/>
      <c r="X94" s="31">
        <f>P94-T94</f>
        <v>63630.200968000019</v>
      </c>
      <c r="Y94" s="16"/>
      <c r="Z94" s="33">
        <f>IF(T94=0,0,X94/T94)</f>
        <v>-0.34295574007097679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294</v>
      </c>
      <c r="C97" s="28"/>
      <c r="D97" s="34">
        <f>SUM(D94:D96)</f>
        <v>-10619.55</v>
      </c>
      <c r="E97" s="14"/>
      <c r="F97" s="35">
        <f>IF(D$12=0,0,D97/D$12)</f>
        <v>0</v>
      </c>
      <c r="G97" s="14"/>
      <c r="H97" s="34">
        <f>SUM(H94:H96)</f>
        <v>-17530.538</v>
      </c>
      <c r="I97" s="14"/>
      <c r="J97" s="35">
        <f>IF(H$12=0,0,H97/H$12)</f>
        <v>-0.44940878794093519</v>
      </c>
      <c r="K97" s="16"/>
      <c r="L97" s="34">
        <f>+D97-H97</f>
        <v>6910.9880000000012</v>
      </c>
      <c r="M97" s="16"/>
      <c r="N97" s="35">
        <f>IF(H97=0,0,L97/H97)</f>
        <v>-0.39422566495107003</v>
      </c>
      <c r="O97" s="29"/>
      <c r="P97" s="34">
        <f>SUM(P94:P96)</f>
        <v>-121904.53</v>
      </c>
      <c r="Q97" s="14"/>
      <c r="R97" s="35">
        <f>IF(P$12=0,0,P97/P$12)</f>
        <v>0</v>
      </c>
      <c r="S97" s="14"/>
      <c r="T97" s="34">
        <f>SUM(T94:T96)</f>
        <v>-185534.73096800002</v>
      </c>
      <c r="U97" s="14"/>
      <c r="V97" s="35">
        <f>IF(T$12=0,0,T97/T$12)</f>
        <v>-0.73922637196645224</v>
      </c>
      <c r="W97" s="16"/>
      <c r="X97" s="34">
        <f>+P97-T97</f>
        <v>63630.200968000019</v>
      </c>
      <c r="Y97" s="16"/>
      <c r="Z97" s="35">
        <f>IF(T97=0,0,X97/T97)</f>
        <v>-0.34295574007097679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62">
        <v>44330.0058283912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5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51.9</v>
      </c>
      <c r="E12" s="4"/>
      <c r="F12" s="12"/>
      <c r="G12" s="4"/>
      <c r="H12" s="4">
        <f>SUM(OSRRefH13x_0)</f>
        <v>538</v>
      </c>
      <c r="I12" s="4"/>
      <c r="J12" s="12"/>
      <c r="K12" s="4"/>
      <c r="L12" s="4">
        <f t="shared" ref="L12:L14" si="0">+D12-H12</f>
        <v>-486.1</v>
      </c>
      <c r="M12" s="4"/>
      <c r="N12" s="12">
        <f t="shared" ref="N12:N14" si="1">IF(H12=0,0,L12/H12)</f>
        <v>-0.90353159851301124</v>
      </c>
      <c r="O12" s="10"/>
      <c r="P12" s="4">
        <f>SUM(OSRRefP13x_0)</f>
        <v>396.45</v>
      </c>
      <c r="Q12" s="4"/>
      <c r="R12" s="12"/>
      <c r="S12" s="4"/>
      <c r="T12" s="4">
        <f>SUM(OSRRefT13x_0)</f>
        <v>4257</v>
      </c>
      <c r="U12" s="4"/>
      <c r="V12" s="12"/>
      <c r="W12" s="4"/>
      <c r="X12" s="4">
        <f t="shared" ref="X12:X14" si="2">+P12-T12</f>
        <v>-3860.55</v>
      </c>
      <c r="Y12" s="4"/>
      <c r="Z12" s="12">
        <f t="shared" ref="Z12:Z14" si="3">IF(T12=0,0,X12/T12)</f>
        <v>-0.90687103594080343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538</v>
      </c>
      <c r="I13" s="2"/>
      <c r="J13" s="19"/>
      <c r="K13" s="2"/>
      <c r="L13" s="2">
        <f t="shared" si="0"/>
        <v>-538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4257</v>
      </c>
      <c r="U13" s="2"/>
      <c r="V13" s="19"/>
      <c r="W13" s="2"/>
      <c r="X13" s="2">
        <f t="shared" si="2"/>
        <v>-4257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--51.9</f>
        <v>51.9</v>
      </c>
      <c r="E14" s="2"/>
      <c r="F14" s="19"/>
      <c r="G14" s="2"/>
      <c r="H14" s="2"/>
      <c r="I14" s="2"/>
      <c r="J14" s="19"/>
      <c r="K14" s="2"/>
      <c r="L14" s="2">
        <f t="shared" si="0"/>
        <v>51.9</v>
      </c>
      <c r="M14" s="2"/>
      <c r="N14" s="19">
        <f t="shared" si="1"/>
        <v>0</v>
      </c>
      <c r="O14" s="11"/>
      <c r="P14" s="2">
        <f>--396.45</f>
        <v>396.45</v>
      </c>
      <c r="Q14" s="2"/>
      <c r="R14" s="19"/>
      <c r="S14" s="2"/>
      <c r="T14" s="2"/>
      <c r="U14" s="2"/>
      <c r="V14" s="19"/>
      <c r="W14" s="2"/>
      <c r="X14" s="2">
        <f t="shared" si="2"/>
        <v>396.45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24.08</v>
      </c>
      <c r="E16" s="4"/>
      <c r="F16" s="12">
        <f t="shared" ref="F16:F18" si="4">IF(D$12=0,0,D16/D$12)</f>
        <v>0.46396917148362232</v>
      </c>
      <c r="G16" s="4"/>
      <c r="H16" s="4">
        <f>SUM(OSRRefH16x_0)</f>
        <v>269</v>
      </c>
      <c r="I16" s="4"/>
      <c r="J16" s="12">
        <f t="shared" ref="J16:J18" si="5">IF(H$12=0,0,H16/H$12)</f>
        <v>0.5</v>
      </c>
      <c r="K16" s="4"/>
      <c r="L16" s="4">
        <f t="shared" ref="L16:L18" si="6">+D16-H16</f>
        <v>-244.92000000000002</v>
      </c>
      <c r="M16" s="4"/>
      <c r="N16" s="12">
        <f t="shared" ref="N16:N18" si="7">IF(H16=0,0,L16/H16)</f>
        <v>-0.9104832713754647</v>
      </c>
      <c r="O16" s="10"/>
      <c r="P16" s="4">
        <f>SUM(OSRRefP16x_0)</f>
        <v>-318.01</v>
      </c>
      <c r="Q16" s="4"/>
      <c r="R16" s="12">
        <f t="shared" ref="R16:R18" si="8">IF(P$12=0,0,P16/P$12)</f>
        <v>-0.80214402825072517</v>
      </c>
      <c r="S16" s="4"/>
      <c r="T16" s="4">
        <f>SUM(OSRRefT16x_0)</f>
        <v>2130</v>
      </c>
      <c r="U16" s="4"/>
      <c r="V16" s="12">
        <f t="shared" ref="V16:V18" si="9">IF(T$12=0,0,T16/T$12)</f>
        <v>0.50035236081747714</v>
      </c>
      <c r="W16" s="4"/>
      <c r="X16" s="4">
        <f t="shared" ref="X16:X18" si="10">+P16-T16</f>
        <v>-2448.0100000000002</v>
      </c>
      <c r="Y16" s="4"/>
      <c r="Z16" s="12">
        <f t="shared" ref="Z16:Z18" si="11">IF(T16=0,0,X16/T16)</f>
        <v>-1.1493004694835682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269</v>
      </c>
      <c r="I17" s="2"/>
      <c r="J17" s="19">
        <f t="shared" si="5"/>
        <v>0.5</v>
      </c>
      <c r="K17" s="2"/>
      <c r="L17" s="2">
        <f t="shared" si="6"/>
        <v>-269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2130</v>
      </c>
      <c r="U17" s="2"/>
      <c r="V17" s="19">
        <f t="shared" si="9"/>
        <v>0.50035236081747714</v>
      </c>
      <c r="W17" s="2"/>
      <c r="X17" s="2">
        <f t="shared" si="10"/>
        <v>-2130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24.08</v>
      </c>
      <c r="E18" s="2"/>
      <c r="F18" s="19">
        <f t="shared" si="4"/>
        <v>0.46396917148362232</v>
      </c>
      <c r="G18" s="2"/>
      <c r="H18" s="2"/>
      <c r="I18" s="2"/>
      <c r="J18" s="19">
        <f t="shared" si="5"/>
        <v>0</v>
      </c>
      <c r="K18" s="2"/>
      <c r="L18" s="2">
        <f t="shared" si="6"/>
        <v>24.08</v>
      </c>
      <c r="M18" s="2"/>
      <c r="N18" s="19">
        <f t="shared" si="7"/>
        <v>0</v>
      </c>
      <c r="O18" s="11"/>
      <c r="P18" s="2">
        <v>-318.01</v>
      </c>
      <c r="Q18" s="2"/>
      <c r="R18" s="19">
        <f t="shared" si="8"/>
        <v>-0.80214402825072517</v>
      </c>
      <c r="S18" s="2"/>
      <c r="T18" s="2"/>
      <c r="U18" s="2"/>
      <c r="V18" s="19">
        <f t="shared" si="9"/>
        <v>0</v>
      </c>
      <c r="W18" s="2"/>
      <c r="X18" s="2">
        <f t="shared" si="10"/>
        <v>-318.01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1">
        <f>D12-D16</f>
        <v>27.82</v>
      </c>
      <c r="E20" s="14"/>
      <c r="F20" s="20">
        <f>IF(D$12=0,0,D20/D$12)</f>
        <v>0.53603082851637762</v>
      </c>
      <c r="G20" s="14"/>
      <c r="H20" s="21">
        <f>H12-H16</f>
        <v>269</v>
      </c>
      <c r="I20" s="14"/>
      <c r="J20" s="20">
        <f>IF(H$12=0,0,H20/H$12)</f>
        <v>0.5</v>
      </c>
      <c r="K20" s="16"/>
      <c r="L20" s="21">
        <f>+D20-H20</f>
        <v>-241.18</v>
      </c>
      <c r="M20" s="16"/>
      <c r="N20" s="20">
        <f>IF(H20=0,0,L20/H20)</f>
        <v>-0.89657992565055766</v>
      </c>
      <c r="O20" s="29"/>
      <c r="P20" s="21">
        <f>P12-P16</f>
        <v>714.46</v>
      </c>
      <c r="Q20" s="14"/>
      <c r="R20" s="20">
        <f>IF(P$12=0,0,P20/P$12)</f>
        <v>1.8021440282507253</v>
      </c>
      <c r="S20" s="14"/>
      <c r="T20" s="21">
        <f>T12-T16</f>
        <v>2127</v>
      </c>
      <c r="U20" s="14"/>
      <c r="V20" s="20">
        <f>IF(T$12=0,0,T20/T$12)</f>
        <v>0.49964763918252292</v>
      </c>
      <c r="W20" s="16"/>
      <c r="X20" s="21">
        <f>+P20-T20</f>
        <v>-1412.54</v>
      </c>
      <c r="Y20" s="16"/>
      <c r="Z20" s="20">
        <f>IF(T20=0,0,X20/T20)</f>
        <v>-0.66409967089797839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2">
        <f>SUM(OSRRefD22x_0)</f>
        <v>631.58999999999992</v>
      </c>
      <c r="E22" s="22"/>
      <c r="F22" s="32">
        <f t="shared" ref="F22:F26" si="12">IF(D$12=0,0,D22/D$12)</f>
        <v>12.16936416184971</v>
      </c>
      <c r="G22" s="22"/>
      <c r="H22" s="22">
        <f>SUM(OSRRefH22x_0)</f>
        <v>47</v>
      </c>
      <c r="I22" s="22"/>
      <c r="J22" s="32">
        <f t="shared" ref="J22:J26" si="13">IF(H$12=0,0,H22/H$12)</f>
        <v>8.7360594795539037E-2</v>
      </c>
      <c r="K22" s="4"/>
      <c r="L22" s="22">
        <f t="shared" ref="L22:L26" si="14">+D22-H22</f>
        <v>584.58999999999992</v>
      </c>
      <c r="M22" s="4"/>
      <c r="N22" s="32">
        <f t="shared" ref="N22:N26" si="15">IF(H22=0,0,L22/H22)</f>
        <v>12.438085106382976</v>
      </c>
      <c r="O22" s="10"/>
      <c r="P22" s="22">
        <f>SUM(OSRRefP22x_0)</f>
        <v>631.58999999999992</v>
      </c>
      <c r="Q22" s="22"/>
      <c r="R22" s="32">
        <f t="shared" ref="R22:R26" si="16">IF(P$12=0,0,P22/P$12)</f>
        <v>1.593113885735906</v>
      </c>
      <c r="S22" s="22"/>
      <c r="T22" s="22">
        <f>SUM(OSRRefT22x_0)</f>
        <v>371</v>
      </c>
      <c r="U22" s="22"/>
      <c r="V22" s="32">
        <f t="shared" ref="V22:V26" si="17">IF(T$12=0,0,T22/T$12)</f>
        <v>8.7150575522668541E-2</v>
      </c>
      <c r="W22" s="4"/>
      <c r="X22" s="22">
        <f t="shared" ref="X22:X26" si="18">+P22-T22</f>
        <v>260.58999999999992</v>
      </c>
      <c r="Y22" s="4"/>
      <c r="Z22" s="32">
        <f t="shared" ref="Z22:Z26" si="19">IF(T22=0,0,X22/T22)</f>
        <v>0.70239892183288388</v>
      </c>
    </row>
    <row r="23" spans="1:26" s="25" customFormat="1" outlineLevel="1" collapsed="1" x14ac:dyDescent="0.25">
      <c r="A23" s="27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511.59</v>
      </c>
      <c r="E23" s="1"/>
      <c r="F23" s="5">
        <f t="shared" si="12"/>
        <v>9.8572254335260112</v>
      </c>
      <c r="G23" s="1"/>
      <c r="H23" s="1">
        <f>SUM(OSRRefH22_0x_0)</f>
        <v>47</v>
      </c>
      <c r="I23" s="1"/>
      <c r="J23" s="5">
        <f t="shared" si="13"/>
        <v>8.7360594795539037E-2</v>
      </c>
      <c r="K23" s="1"/>
      <c r="L23" s="1">
        <f t="shared" si="14"/>
        <v>464.59</v>
      </c>
      <c r="M23" s="1"/>
      <c r="N23" s="5">
        <f t="shared" si="15"/>
        <v>9.8848936170212767</v>
      </c>
      <c r="O23" s="13"/>
      <c r="P23" s="1">
        <f>SUM(OSRRefP22_0x_0)</f>
        <v>511.59</v>
      </c>
      <c r="Q23" s="1"/>
      <c r="R23" s="5">
        <f t="shared" si="16"/>
        <v>1.2904275444570563</v>
      </c>
      <c r="S23" s="1"/>
      <c r="T23" s="1">
        <f>SUM(OSRRefT22_0x_0)</f>
        <v>371</v>
      </c>
      <c r="U23" s="1"/>
      <c r="V23" s="5">
        <f t="shared" si="17"/>
        <v>8.7150575522668541E-2</v>
      </c>
      <c r="W23" s="1"/>
      <c r="X23" s="1">
        <f t="shared" si="18"/>
        <v>140.58999999999997</v>
      </c>
      <c r="Y23" s="1"/>
      <c r="Z23" s="5">
        <f t="shared" si="19"/>
        <v>0.37894878706199453</v>
      </c>
    </row>
    <row r="24" spans="1:26" s="24" customFormat="1" hidden="1" outlineLevel="2" x14ac:dyDescent="0.25">
      <c r="A24" s="26"/>
      <c r="B24" s="11" t="str">
        <f>CONCATENATE("          ", "6381", " - ", "BANK/CREDIT CARD FEES")</f>
        <v xml:space="preserve">          6381 - BANK/CREDIT CARD FEES</v>
      </c>
      <c r="C24" s="11"/>
      <c r="D24" s="7">
        <v>511.59</v>
      </c>
      <c r="E24" s="2"/>
      <c r="F24" s="6">
        <f t="shared" si="12"/>
        <v>9.8572254335260112</v>
      </c>
      <c r="G24" s="2"/>
      <c r="H24" s="7">
        <v>47</v>
      </c>
      <c r="I24" s="2"/>
      <c r="J24" s="6">
        <f t="shared" si="13"/>
        <v>8.7360594795539037E-2</v>
      </c>
      <c r="K24" s="2"/>
      <c r="L24" s="7">
        <f t="shared" si="14"/>
        <v>464.59</v>
      </c>
      <c r="M24" s="2"/>
      <c r="N24" s="6">
        <f t="shared" si="15"/>
        <v>9.8848936170212767</v>
      </c>
      <c r="O24" s="11"/>
      <c r="P24" s="7">
        <v>511.59</v>
      </c>
      <c r="Q24" s="2"/>
      <c r="R24" s="6">
        <f t="shared" si="16"/>
        <v>1.2904275444570563</v>
      </c>
      <c r="S24" s="2"/>
      <c r="T24" s="7">
        <v>371</v>
      </c>
      <c r="U24" s="2"/>
      <c r="V24" s="6">
        <f t="shared" si="17"/>
        <v>8.7150575522668541E-2</v>
      </c>
      <c r="W24" s="2"/>
      <c r="X24" s="7">
        <f t="shared" si="18"/>
        <v>140.58999999999997</v>
      </c>
      <c r="Y24" s="2"/>
      <c r="Z24" s="6">
        <f t="shared" si="19"/>
        <v>0.37894878706199453</v>
      </c>
    </row>
    <row r="25" spans="1:26" s="25" customFormat="1" outlineLevel="1" collapsed="1" x14ac:dyDescent="0.25">
      <c r="A25" s="27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120</v>
      </c>
      <c r="E25" s="1"/>
      <c r="F25" s="5">
        <f t="shared" si="12"/>
        <v>2.3121387283236996</v>
      </c>
      <c r="G25" s="1"/>
      <c r="H25" s="1">
        <f>SUM(OSRRefH22_1x_0)</f>
        <v>0</v>
      </c>
      <c r="I25" s="1"/>
      <c r="J25" s="5">
        <f t="shared" si="13"/>
        <v>0</v>
      </c>
      <c r="K25" s="1"/>
      <c r="L25" s="1">
        <f t="shared" si="14"/>
        <v>120</v>
      </c>
      <c r="M25" s="1"/>
      <c r="N25" s="5">
        <f t="shared" si="15"/>
        <v>0</v>
      </c>
      <c r="O25" s="13"/>
      <c r="P25" s="1">
        <f>SUM(OSRRefP22_1x_0)</f>
        <v>120</v>
      </c>
      <c r="Q25" s="1"/>
      <c r="R25" s="5">
        <f t="shared" si="16"/>
        <v>0.3026863412788498</v>
      </c>
      <c r="S25" s="1"/>
      <c r="T25" s="1">
        <f>SUM(OSRRefT22_1x_0)</f>
        <v>0</v>
      </c>
      <c r="U25" s="1"/>
      <c r="V25" s="5">
        <f t="shared" si="17"/>
        <v>0</v>
      </c>
      <c r="W25" s="1"/>
      <c r="X25" s="1">
        <f t="shared" si="18"/>
        <v>120</v>
      </c>
      <c r="Y25" s="1"/>
      <c r="Z25" s="5">
        <f t="shared" si="19"/>
        <v>0</v>
      </c>
    </row>
    <row r="26" spans="1:26" s="24" customFormat="1" hidden="1" outlineLevel="2" x14ac:dyDescent="0.25">
      <c r="A26" s="26"/>
      <c r="B26" s="11" t="str">
        <f>CONCATENATE("          ", "6279", " - ", "GENERAL EXPENSE")</f>
        <v xml:space="preserve">          6279 - GENERAL EXPENSE</v>
      </c>
      <c r="C26" s="11"/>
      <c r="D26" s="7">
        <v>120</v>
      </c>
      <c r="E26" s="2"/>
      <c r="F26" s="6">
        <f t="shared" si="12"/>
        <v>2.3121387283236996</v>
      </c>
      <c r="G26" s="2"/>
      <c r="H26" s="7"/>
      <c r="I26" s="2"/>
      <c r="J26" s="6">
        <f t="shared" si="13"/>
        <v>0</v>
      </c>
      <c r="K26" s="2"/>
      <c r="L26" s="7">
        <f t="shared" si="14"/>
        <v>120</v>
      </c>
      <c r="M26" s="2"/>
      <c r="N26" s="6">
        <f t="shared" si="15"/>
        <v>0</v>
      </c>
      <c r="O26" s="11"/>
      <c r="P26" s="7">
        <v>120</v>
      </c>
      <c r="Q26" s="2"/>
      <c r="R26" s="6">
        <f t="shared" si="16"/>
        <v>0.3026863412788498</v>
      </c>
      <c r="S26" s="2"/>
      <c r="T26" s="7"/>
      <c r="U26" s="2"/>
      <c r="V26" s="6">
        <f t="shared" si="17"/>
        <v>0</v>
      </c>
      <c r="W26" s="2"/>
      <c r="X26" s="7">
        <f t="shared" si="18"/>
        <v>120</v>
      </c>
      <c r="Y26" s="2"/>
      <c r="Z26" s="6">
        <f t="shared" si="19"/>
        <v>0</v>
      </c>
    </row>
    <row r="27" spans="1:26" s="61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277</v>
      </c>
      <c r="C30" s="28"/>
      <c r="D30" s="21">
        <f>+D20-D22+D28</f>
        <v>-603.76999999999987</v>
      </c>
      <c r="E30" s="14"/>
      <c r="F30" s="20">
        <f>IF(D$12=0,0,D30/D$12)</f>
        <v>-11.633333333333331</v>
      </c>
      <c r="G30" s="14"/>
      <c r="H30" s="21">
        <f>+H20-H22+H28</f>
        <v>222</v>
      </c>
      <c r="I30" s="14"/>
      <c r="J30" s="20">
        <f>IF(H$12=0,0,H30/H$12)</f>
        <v>0.41263940520446096</v>
      </c>
      <c r="K30" s="16"/>
      <c r="L30" s="21">
        <f>+D30-H30</f>
        <v>-825.76999999999987</v>
      </c>
      <c r="M30" s="16"/>
      <c r="N30" s="20">
        <f>IF(H30=0,0,L30/H30)</f>
        <v>-3.7196846846846841</v>
      </c>
      <c r="O30" s="29"/>
      <c r="P30" s="21">
        <f>+P20-P22+P28</f>
        <v>82.870000000000118</v>
      </c>
      <c r="Q30" s="14"/>
      <c r="R30" s="20">
        <f>IF(P$12=0,0,P30/P$12)</f>
        <v>0.20903014251481933</v>
      </c>
      <c r="S30" s="14"/>
      <c r="T30" s="21">
        <f>+T20-T22+T28</f>
        <v>1756</v>
      </c>
      <c r="U30" s="14"/>
      <c r="V30" s="20">
        <f>IF(T$12=0,0,T30/T$12)</f>
        <v>0.41249706365985433</v>
      </c>
      <c r="W30" s="16"/>
      <c r="X30" s="21">
        <f>+P30-T30</f>
        <v>-1673.1299999999999</v>
      </c>
      <c r="Y30" s="16"/>
      <c r="Z30" s="20">
        <f>IF(T30=0,0,X30/T30)</f>
        <v>-0.95280751708428235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>
        <v>11.93</v>
      </c>
      <c r="E32" s="4"/>
      <c r="F32" s="12">
        <f>IF(D$12=0,0,D32/D$12)</f>
        <v>0.22986512524084779</v>
      </c>
      <c r="G32" s="4"/>
      <c r="H32" s="4">
        <v>113</v>
      </c>
      <c r="I32" s="4"/>
      <c r="J32" s="12">
        <f>IF(H$12=0,0,H32/H$12)</f>
        <v>0.2100371747211896</v>
      </c>
      <c r="K32" s="4"/>
      <c r="L32" s="4">
        <f>+D32-H32</f>
        <v>-101.07</v>
      </c>
      <c r="M32" s="4"/>
      <c r="N32" s="12">
        <f>IF(H32=0,0,L32/H32)</f>
        <v>-0.89442477876106186</v>
      </c>
      <c r="O32" s="10"/>
      <c r="P32" s="4">
        <v>82.94</v>
      </c>
      <c r="Q32" s="4"/>
      <c r="R32" s="12">
        <f>IF(P$12=0,0,P32/P$12)</f>
        <v>0.2092067095472317</v>
      </c>
      <c r="S32" s="4"/>
      <c r="T32" s="4">
        <v>770</v>
      </c>
      <c r="U32" s="4"/>
      <c r="V32" s="12">
        <f>IF(T$12=0,0,T32/T$12)</f>
        <v>0.18087855297157623</v>
      </c>
      <c r="W32" s="4"/>
      <c r="X32" s="4">
        <f>+P32-T32</f>
        <v>-687.06</v>
      </c>
      <c r="Y32" s="4"/>
      <c r="Z32" s="12">
        <f>IF(T32=0,0,X32/T32)</f>
        <v>-0.89228571428571424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126</v>
      </c>
      <c r="C34" s="28"/>
      <c r="D34" s="31">
        <f>+D30-D32</f>
        <v>-615.69999999999982</v>
      </c>
      <c r="E34" s="14"/>
      <c r="F34" s="33">
        <f>IF(D$12=0,0,D34/D$12)</f>
        <v>-11.863198458574178</v>
      </c>
      <c r="G34" s="14"/>
      <c r="H34" s="31">
        <f>+H30-H32</f>
        <v>109</v>
      </c>
      <c r="I34" s="14"/>
      <c r="J34" s="33">
        <f>IF(H$12=0,0,H34/H$12)</f>
        <v>0.20260223048327136</v>
      </c>
      <c r="K34" s="16"/>
      <c r="L34" s="31">
        <f>D34-H34</f>
        <v>-724.69999999999982</v>
      </c>
      <c r="M34" s="16"/>
      <c r="N34" s="33">
        <f>IF(H34=0,0,L34/H34)</f>
        <v>-6.6486238532110074</v>
      </c>
      <c r="O34" s="29"/>
      <c r="P34" s="31">
        <f>+P30-P32</f>
        <v>-6.9999999999879492E-2</v>
      </c>
      <c r="Q34" s="14"/>
      <c r="R34" s="33">
        <f>IF(P$12=0,0,P34/P$12)</f>
        <v>-1.7656703241235842E-4</v>
      </c>
      <c r="S34" s="14"/>
      <c r="T34" s="31">
        <f>+T30-T32</f>
        <v>986</v>
      </c>
      <c r="U34" s="14"/>
      <c r="V34" s="33">
        <f>IF(T$12=0,0,T34/T$12)</f>
        <v>0.23161851068827813</v>
      </c>
      <c r="W34" s="16"/>
      <c r="X34" s="31">
        <f>P34-T34</f>
        <v>-986.06999999999994</v>
      </c>
      <c r="Y34" s="16"/>
      <c r="Z34" s="33">
        <f>IF(T34=0,0,X34/T34)</f>
        <v>-1.0000709939148071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294</v>
      </c>
      <c r="C37" s="28"/>
      <c r="D37" s="34">
        <f>SUM(D34:D36)</f>
        <v>-615.69999999999982</v>
      </c>
      <c r="E37" s="14"/>
      <c r="F37" s="35">
        <f>IF(D$12=0,0,D37/D$12)</f>
        <v>-11.863198458574178</v>
      </c>
      <c r="G37" s="14"/>
      <c r="H37" s="34">
        <f>SUM(H34:H36)</f>
        <v>109</v>
      </c>
      <c r="I37" s="14"/>
      <c r="J37" s="35">
        <f>IF(H$12=0,0,H37/H$12)</f>
        <v>0.20260223048327136</v>
      </c>
      <c r="K37" s="16"/>
      <c r="L37" s="34">
        <f>+D37-H37</f>
        <v>-724.69999999999982</v>
      </c>
      <c r="M37" s="16"/>
      <c r="N37" s="35">
        <f>IF(H37=0,0,L37/H37)</f>
        <v>-6.6486238532110074</v>
      </c>
      <c r="O37" s="29"/>
      <c r="P37" s="34">
        <f>SUM(P34:P36)</f>
        <v>-6.9999999999879492E-2</v>
      </c>
      <c r="Q37" s="14"/>
      <c r="R37" s="35">
        <f>IF(P$12=0,0,P37/P$12)</f>
        <v>-1.7656703241235842E-4</v>
      </c>
      <c r="S37" s="14"/>
      <c r="T37" s="34">
        <f>SUM(T34:T36)</f>
        <v>986</v>
      </c>
      <c r="U37" s="14"/>
      <c r="V37" s="35">
        <f>IF(T$12=0,0,T37/T$12)</f>
        <v>0.23161851068827813</v>
      </c>
      <c r="W37" s="16"/>
      <c r="X37" s="34">
        <f>+P37-T37</f>
        <v>-986.06999999999994</v>
      </c>
      <c r="Y37" s="16"/>
      <c r="Z37" s="35">
        <f>IF(T37=0,0,X37/T37)</f>
        <v>-1.0000709939148071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>
        <v>44330.0058283912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5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200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163253.20000000004</v>
      </c>
      <c r="E12" s="4"/>
      <c r="F12" s="12"/>
      <c r="G12" s="4"/>
      <c r="H12" s="4">
        <f>SUM(OSRRefH13x_0)</f>
        <v>516668</v>
      </c>
      <c r="I12" s="4"/>
      <c r="J12" s="12"/>
      <c r="K12" s="4"/>
      <c r="L12" s="4">
        <f t="shared" ref="L12:L21" si="0">+D12-H12</f>
        <v>-353414.79999999993</v>
      </c>
      <c r="M12" s="4"/>
      <c r="N12" s="12">
        <f t="shared" ref="N12:N21" si="1">IF(H12=0,0,L12/H12)</f>
        <v>-0.68402687993063227</v>
      </c>
      <c r="O12" s="10"/>
      <c r="P12" s="4">
        <f>SUM(OSRRefP13x_0)</f>
        <v>1397976.21</v>
      </c>
      <c r="Q12" s="4"/>
      <c r="R12" s="12"/>
      <c r="S12" s="4"/>
      <c r="T12" s="4">
        <f>SUM(OSRRefT13x_0)</f>
        <v>3857431</v>
      </c>
      <c r="U12" s="4"/>
      <c r="V12" s="12"/>
      <c r="W12" s="4"/>
      <c r="X12" s="4">
        <f t="shared" ref="X12:X21" si="2">+P12-T12</f>
        <v>-2459454.79</v>
      </c>
      <c r="Y12" s="4"/>
      <c r="Z12" s="12">
        <f t="shared" ref="Z12:Z21" si="3">IF(T12=0,0,X12/T12)</f>
        <v>-0.63758879679247671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4805</v>
      </c>
      <c r="I13" s="2"/>
      <c r="J13" s="19"/>
      <c r="K13" s="2"/>
      <c r="L13" s="2">
        <f t="shared" si="0"/>
        <v>-4805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65222</v>
      </c>
      <c r="U13" s="2"/>
      <c r="V13" s="19"/>
      <c r="W13" s="2"/>
      <c r="X13" s="2">
        <f t="shared" si="2"/>
        <v>-65222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--6552.2</f>
        <v>6552.2</v>
      </c>
      <c r="E14" s="2"/>
      <c r="F14" s="19"/>
      <c r="G14" s="2"/>
      <c r="H14" s="2"/>
      <c r="I14" s="2"/>
      <c r="J14" s="19"/>
      <c r="K14" s="2"/>
      <c r="L14" s="2">
        <f t="shared" si="0"/>
        <v>6552.2</v>
      </c>
      <c r="M14" s="2"/>
      <c r="N14" s="19">
        <f t="shared" si="1"/>
        <v>0</v>
      </c>
      <c r="O14" s="11"/>
      <c r="P14" s="2">
        <f>--32121.26</f>
        <v>32121.26</v>
      </c>
      <c r="Q14" s="2"/>
      <c r="R14" s="19"/>
      <c r="S14" s="2"/>
      <c r="T14" s="2"/>
      <c r="U14" s="2"/>
      <c r="V14" s="19"/>
      <c r="W14" s="2"/>
      <c r="X14" s="2">
        <f t="shared" si="2"/>
        <v>32121.26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--48734.68</f>
        <v>48734.68</v>
      </c>
      <c r="E15" s="2"/>
      <c r="F15" s="19"/>
      <c r="G15" s="2"/>
      <c r="H15" s="2"/>
      <c r="I15" s="2"/>
      <c r="J15" s="19"/>
      <c r="K15" s="2"/>
      <c r="L15" s="2">
        <f t="shared" si="0"/>
        <v>48734.68</v>
      </c>
      <c r="M15" s="2"/>
      <c r="N15" s="19">
        <f t="shared" si="1"/>
        <v>0</v>
      </c>
      <c r="O15" s="11"/>
      <c r="P15" s="2">
        <f>--380674.79</f>
        <v>380674.79</v>
      </c>
      <c r="Q15" s="2"/>
      <c r="R15" s="19"/>
      <c r="S15" s="2"/>
      <c r="T15" s="2"/>
      <c r="U15" s="2"/>
      <c r="V15" s="19"/>
      <c r="W15" s="2"/>
      <c r="X15" s="2">
        <f t="shared" si="2"/>
        <v>380674.79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--161.18</f>
        <v>161.18</v>
      </c>
      <c r="E16" s="2"/>
      <c r="F16" s="19"/>
      <c r="G16" s="2"/>
      <c r="H16" s="2"/>
      <c r="I16" s="2"/>
      <c r="J16" s="19"/>
      <c r="K16" s="2"/>
      <c r="L16" s="2">
        <f t="shared" si="0"/>
        <v>161.18</v>
      </c>
      <c r="M16" s="2"/>
      <c r="N16" s="19">
        <f t="shared" si="1"/>
        <v>0</v>
      </c>
      <c r="O16" s="11"/>
      <c r="P16" s="2">
        <f>--1084.9</f>
        <v>1084.9000000000001</v>
      </c>
      <c r="Q16" s="2"/>
      <c r="R16" s="19"/>
      <c r="S16" s="2"/>
      <c r="T16" s="2"/>
      <c r="U16" s="2"/>
      <c r="V16" s="19"/>
      <c r="W16" s="2"/>
      <c r="X16" s="2">
        <f t="shared" si="2"/>
        <v>1084.9000000000001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--974.91</f>
        <v>974.91</v>
      </c>
      <c r="Q17" s="2"/>
      <c r="R17" s="19"/>
      <c r="S17" s="2"/>
      <c r="T17" s="2"/>
      <c r="U17" s="2"/>
      <c r="V17" s="19"/>
      <c r="W17" s="2"/>
      <c r="X17" s="2">
        <f t="shared" si="2"/>
        <v>974.91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19"/>
      <c r="G18" s="2"/>
      <c r="H18" s="2">
        <v>511863</v>
      </c>
      <c r="I18" s="2"/>
      <c r="J18" s="19"/>
      <c r="K18" s="2"/>
      <c r="L18" s="2">
        <f t="shared" si="0"/>
        <v>-511863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3792209</v>
      </c>
      <c r="U18" s="2"/>
      <c r="V18" s="19"/>
      <c r="W18" s="2"/>
      <c r="X18" s="2">
        <f t="shared" si="2"/>
        <v>-3792209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--91787.27</f>
        <v>91787.27</v>
      </c>
      <c r="E19" s="2"/>
      <c r="F19" s="19"/>
      <c r="G19" s="2"/>
      <c r="H19" s="2"/>
      <c r="I19" s="2"/>
      <c r="J19" s="19"/>
      <c r="K19" s="2"/>
      <c r="L19" s="2">
        <f t="shared" si="0"/>
        <v>91787.27</v>
      </c>
      <c r="M19" s="2"/>
      <c r="N19" s="19">
        <f t="shared" si="1"/>
        <v>0</v>
      </c>
      <c r="O19" s="11"/>
      <c r="P19" s="2">
        <f>--924097.12</f>
        <v>924097.12</v>
      </c>
      <c r="Q19" s="2"/>
      <c r="R19" s="19"/>
      <c r="S19" s="2"/>
      <c r="T19" s="2"/>
      <c r="U19" s="2"/>
      <c r="V19" s="19"/>
      <c r="W19" s="2"/>
      <c r="X19" s="2">
        <f t="shared" si="2"/>
        <v>924097.12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--11580.95</f>
        <v>11580.95</v>
      </c>
      <c r="E20" s="2"/>
      <c r="F20" s="19"/>
      <c r="G20" s="2"/>
      <c r="H20" s="2"/>
      <c r="I20" s="2"/>
      <c r="J20" s="19"/>
      <c r="K20" s="2"/>
      <c r="L20" s="2">
        <f t="shared" si="0"/>
        <v>11580.95</v>
      </c>
      <c r="M20" s="2"/>
      <c r="N20" s="19">
        <f t="shared" si="1"/>
        <v>0</v>
      </c>
      <c r="O20" s="11"/>
      <c r="P20" s="2">
        <f>--11580.95</f>
        <v>11580.95</v>
      </c>
      <c r="Q20" s="2"/>
      <c r="R20" s="19"/>
      <c r="S20" s="2"/>
      <c r="T20" s="2"/>
      <c r="U20" s="2"/>
      <c r="V20" s="19"/>
      <c r="W20" s="2"/>
      <c r="X20" s="2">
        <f t="shared" si="2"/>
        <v>11580.95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--4436.92</f>
        <v>4436.92</v>
      </c>
      <c r="E21" s="2"/>
      <c r="F21" s="19"/>
      <c r="G21" s="2"/>
      <c r="H21" s="2"/>
      <c r="I21" s="2"/>
      <c r="J21" s="19"/>
      <c r="K21" s="2"/>
      <c r="L21" s="2">
        <f t="shared" si="0"/>
        <v>4436.92</v>
      </c>
      <c r="M21" s="2"/>
      <c r="N21" s="19">
        <f t="shared" si="1"/>
        <v>0</v>
      </c>
      <c r="O21" s="11"/>
      <c r="P21" s="2">
        <f>--47442.28</f>
        <v>47442.28</v>
      </c>
      <c r="Q21" s="2"/>
      <c r="R21" s="19"/>
      <c r="S21" s="2"/>
      <c r="T21" s="2"/>
      <c r="U21" s="2"/>
      <c r="V21" s="19"/>
      <c r="W21" s="2"/>
      <c r="X21" s="2">
        <f t="shared" si="2"/>
        <v>47442.28</v>
      </c>
      <c r="Y21" s="2"/>
      <c r="Z21" s="19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257</v>
      </c>
      <c r="C23" s="10"/>
      <c r="D23" s="4">
        <f>SUM(OSRRefD16x_0)</f>
        <v>50783.16</v>
      </c>
      <c r="E23" s="4"/>
      <c r="F23" s="12">
        <f t="shared" ref="F23:F26" si="5">IF(D$12=0,0,D23/D$12)</f>
        <v>0.31106992083462981</v>
      </c>
      <c r="G23" s="4"/>
      <c r="H23" s="4">
        <f>SUM(OSRRefH16x_0)</f>
        <v>138554</v>
      </c>
      <c r="I23" s="4"/>
      <c r="J23" s="12">
        <f t="shared" ref="J23:J26" si="6">IF(H$12=0,0,H23/H$12)</f>
        <v>0.26816834021073493</v>
      </c>
      <c r="K23" s="4"/>
      <c r="L23" s="4">
        <f t="shared" ref="L23:L26" si="7">+D23-H23</f>
        <v>-87770.84</v>
      </c>
      <c r="M23" s="4"/>
      <c r="N23" s="12">
        <f t="shared" ref="N23:N26" si="8">IF(H23=0,0,L23/H23)</f>
        <v>-0.63347748892128697</v>
      </c>
      <c r="O23" s="10"/>
      <c r="P23" s="4">
        <f>SUM(OSRRefP16x_0)</f>
        <v>429410.48</v>
      </c>
      <c r="Q23" s="4"/>
      <c r="R23" s="12">
        <f t="shared" ref="R23:R26" si="9">IF(P$12=0,0,P23/P$12)</f>
        <v>0.30716579933788718</v>
      </c>
      <c r="S23" s="4"/>
      <c r="T23" s="4">
        <f>SUM(OSRRefT16x_0)</f>
        <v>1051049</v>
      </c>
      <c r="U23" s="4"/>
      <c r="V23" s="12">
        <f t="shared" ref="V23:V26" si="10">IF(T$12=0,0,T23/T$12)</f>
        <v>0.2724738303808934</v>
      </c>
      <c r="W23" s="4"/>
      <c r="X23" s="4">
        <f t="shared" ref="X23:X26" si="11">+P23-T23</f>
        <v>-621638.52</v>
      </c>
      <c r="Y23" s="4"/>
      <c r="Z23" s="12">
        <f t="shared" ref="Z23:Z26" si="12">IF(T23=0,0,X23/T23)</f>
        <v>-0.59144580319281026</v>
      </c>
    </row>
    <row r="24" spans="1:26" s="24" customFormat="1" hidden="1" outlineLevel="1" x14ac:dyDescent="0.25">
      <c r="A24" s="44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19">
        <f t="shared" si="5"/>
        <v>0</v>
      </c>
      <c r="G24" s="2"/>
      <c r="H24" s="2">
        <v>138554</v>
      </c>
      <c r="I24" s="2"/>
      <c r="J24" s="19">
        <f t="shared" si="6"/>
        <v>0.26816834021073493</v>
      </c>
      <c r="K24" s="2"/>
      <c r="L24" s="2">
        <f t="shared" si="7"/>
        <v>-138554</v>
      </c>
      <c r="M24" s="2"/>
      <c r="N24" s="19">
        <f t="shared" si="8"/>
        <v>-1</v>
      </c>
      <c r="O24" s="11"/>
      <c r="P24" s="2"/>
      <c r="Q24" s="2"/>
      <c r="R24" s="19">
        <f t="shared" si="9"/>
        <v>0</v>
      </c>
      <c r="S24" s="2"/>
      <c r="T24" s="2">
        <v>1051049</v>
      </c>
      <c r="U24" s="2"/>
      <c r="V24" s="19">
        <f t="shared" si="10"/>
        <v>0.2724738303808934</v>
      </c>
      <c r="W24" s="2"/>
      <c r="X24" s="2">
        <f t="shared" si="11"/>
        <v>-1051049</v>
      </c>
      <c r="Y24" s="2"/>
      <c r="Z24" s="19">
        <f t="shared" si="12"/>
        <v>-1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50154.23</v>
      </c>
      <c r="E25" s="2"/>
      <c r="F25" s="19">
        <f t="shared" si="5"/>
        <v>0.30721743892309611</v>
      </c>
      <c r="G25" s="2"/>
      <c r="H25" s="2"/>
      <c r="I25" s="2"/>
      <c r="J25" s="19">
        <f t="shared" si="6"/>
        <v>0</v>
      </c>
      <c r="K25" s="2"/>
      <c r="L25" s="2">
        <f t="shared" si="7"/>
        <v>50154.23</v>
      </c>
      <c r="M25" s="2"/>
      <c r="N25" s="19">
        <f t="shared" si="8"/>
        <v>0</v>
      </c>
      <c r="O25" s="11"/>
      <c r="P25" s="2">
        <v>427806.17</v>
      </c>
      <c r="Q25" s="2"/>
      <c r="R25" s="19">
        <f t="shared" si="9"/>
        <v>0.30601820470178098</v>
      </c>
      <c r="S25" s="2"/>
      <c r="T25" s="2"/>
      <c r="U25" s="2"/>
      <c r="V25" s="19">
        <f t="shared" si="10"/>
        <v>0</v>
      </c>
      <c r="W25" s="2"/>
      <c r="X25" s="2">
        <f t="shared" si="11"/>
        <v>427806.17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628.92999999999995</v>
      </c>
      <c r="E26" s="2"/>
      <c r="F26" s="19">
        <f t="shared" si="5"/>
        <v>3.8524819115337392E-3</v>
      </c>
      <c r="G26" s="2"/>
      <c r="H26" s="2"/>
      <c r="I26" s="2"/>
      <c r="J26" s="19">
        <f t="shared" si="6"/>
        <v>0</v>
      </c>
      <c r="K26" s="2"/>
      <c r="L26" s="2">
        <f t="shared" si="7"/>
        <v>628.92999999999995</v>
      </c>
      <c r="M26" s="2"/>
      <c r="N26" s="19">
        <f t="shared" si="8"/>
        <v>0</v>
      </c>
      <c r="O26" s="11"/>
      <c r="P26" s="2">
        <v>1604.31</v>
      </c>
      <c r="Q26" s="2"/>
      <c r="R26" s="19">
        <f t="shared" si="9"/>
        <v>1.1475946361061465E-3</v>
      </c>
      <c r="S26" s="2"/>
      <c r="T26" s="2"/>
      <c r="U26" s="2"/>
      <c r="V26" s="19">
        <f t="shared" si="10"/>
        <v>0</v>
      </c>
      <c r="W26" s="2"/>
      <c r="X26" s="2">
        <f t="shared" si="11"/>
        <v>1604.31</v>
      </c>
      <c r="Y26" s="2"/>
      <c r="Z26" s="19">
        <f t="shared" si="12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108</v>
      </c>
      <c r="C28" s="28"/>
      <c r="D28" s="21">
        <f>D12-D23</f>
        <v>112470.04000000004</v>
      </c>
      <c r="E28" s="14"/>
      <c r="F28" s="20">
        <f>IF(D$12=0,0,D28/D$12)</f>
        <v>0.68893007916537019</v>
      </c>
      <c r="G28" s="14"/>
      <c r="H28" s="21">
        <f>H12-H23</f>
        <v>378114</v>
      </c>
      <c r="I28" s="14"/>
      <c r="J28" s="20">
        <f>IF(H$12=0,0,H28/H$12)</f>
        <v>0.73183165978926501</v>
      </c>
      <c r="K28" s="16"/>
      <c r="L28" s="21">
        <f>+D28-H28</f>
        <v>-265643.95999999996</v>
      </c>
      <c r="M28" s="16"/>
      <c r="N28" s="20">
        <f>IF(H28=0,0,L28/H28)</f>
        <v>-0.70254991880755524</v>
      </c>
      <c r="O28" s="29"/>
      <c r="P28" s="21">
        <f>P12-P23</f>
        <v>968565.73</v>
      </c>
      <c r="Q28" s="14"/>
      <c r="R28" s="20">
        <f>IF(P$12=0,0,P28/P$12)</f>
        <v>0.69283420066211288</v>
      </c>
      <c r="S28" s="14"/>
      <c r="T28" s="21">
        <f>T12-T23</f>
        <v>2806382</v>
      </c>
      <c r="U28" s="14"/>
      <c r="V28" s="20">
        <f>IF(T$12=0,0,T28/T$12)</f>
        <v>0.72752616961910666</v>
      </c>
      <c r="W28" s="16"/>
      <c r="X28" s="21">
        <f>+P28-T28</f>
        <v>-1837816.27</v>
      </c>
      <c r="Y28" s="16"/>
      <c r="Z28" s="20">
        <f>IF(T28=0,0,X28/T28)</f>
        <v>-0.65487031701315079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295</v>
      </c>
      <c r="C30" s="10"/>
      <c r="D30" s="22">
        <f>SUM(OSRRefD22x_0)</f>
        <v>367637.8600000001</v>
      </c>
      <c r="E30" s="22"/>
      <c r="F30" s="32">
        <f t="shared" ref="F30:F41" si="13">IF(D$12=0,0,D30/D$12)</f>
        <v>2.2519488745090448</v>
      </c>
      <c r="G30" s="22"/>
      <c r="H30" s="22">
        <f>SUM(OSRRefH22x_0)</f>
        <v>527782.47444554861</v>
      </c>
      <c r="I30" s="22"/>
      <c r="J30" s="32">
        <f t="shared" ref="J30:J41" si="14">IF(H$12=0,0,H30/H$12)</f>
        <v>1.0215118305092412</v>
      </c>
      <c r="K30" s="4"/>
      <c r="L30" s="22">
        <f t="shared" ref="L30:L41" si="15">+D30-H30</f>
        <v>-160144.6144455485</v>
      </c>
      <c r="M30" s="4"/>
      <c r="N30" s="32">
        <f t="shared" ref="N30:N41" si="16">IF(H30=0,0,L30/H30)</f>
        <v>-0.30342920085360026</v>
      </c>
      <c r="O30" s="10"/>
      <c r="P30" s="22">
        <f>SUM(OSRRefP22x_0)</f>
        <v>3381388.5999999996</v>
      </c>
      <c r="Q30" s="22"/>
      <c r="R30" s="32">
        <f t="shared" ref="R30:R41" si="17">IF(P$12=0,0,P30/P$12)</f>
        <v>2.4187740648319043</v>
      </c>
      <c r="S30" s="22"/>
      <c r="T30" s="22">
        <f>SUM(OSRRefT22x_0)</f>
        <v>4803882.6100085638</v>
      </c>
      <c r="U30" s="22"/>
      <c r="V30" s="32">
        <f t="shared" ref="V30:V41" si="18">IF(T$12=0,0,T30/T$12)</f>
        <v>1.2453580141831606</v>
      </c>
      <c r="W30" s="4"/>
      <c r="X30" s="22">
        <f t="shared" ref="X30:X41" si="19">+P30-T30</f>
        <v>-1422494.0100085642</v>
      </c>
      <c r="Y30" s="4"/>
      <c r="Z30" s="32">
        <f t="shared" ref="Z30:Z41" si="20">IF(T30=0,0,X30/T30)</f>
        <v>-0.29611339940840653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104829.08</v>
      </c>
      <c r="E31" s="1"/>
      <c r="F31" s="5">
        <f t="shared" si="13"/>
        <v>0.64212572862277728</v>
      </c>
      <c r="G31" s="1"/>
      <c r="H31" s="1">
        <f>SUM(OSRRefH22_0x_0)</f>
        <v>132023.03897875379</v>
      </c>
      <c r="I31" s="1"/>
      <c r="J31" s="5">
        <f t="shared" si="14"/>
        <v>0.25552780311293477</v>
      </c>
      <c r="K31" s="1"/>
      <c r="L31" s="1">
        <f t="shared" si="15"/>
        <v>-27193.958978753784</v>
      </c>
      <c r="M31" s="1"/>
      <c r="N31" s="5">
        <f t="shared" si="16"/>
        <v>-0.20597888966281147</v>
      </c>
      <c r="O31" s="13"/>
      <c r="P31" s="1">
        <f>SUM(OSRRefP22_0x_0)</f>
        <v>982045.63000000012</v>
      </c>
      <c r="Q31" s="1"/>
      <c r="R31" s="5">
        <f t="shared" si="17"/>
        <v>0.70247663942721894</v>
      </c>
      <c r="S31" s="1"/>
      <c r="T31" s="1">
        <f>SUM(OSRRefT22_0x_0)</f>
        <v>1189136.8259117685</v>
      </c>
      <c r="U31" s="1"/>
      <c r="V31" s="5">
        <f t="shared" si="18"/>
        <v>0.30827170360578543</v>
      </c>
      <c r="W31" s="1"/>
      <c r="X31" s="1">
        <f t="shared" si="19"/>
        <v>-207091.19591176836</v>
      </c>
      <c r="Y31" s="1"/>
      <c r="Z31" s="5">
        <f t="shared" si="20"/>
        <v>-0.1741525377056434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7">
        <v>14541.6</v>
      </c>
      <c r="E32" s="2"/>
      <c r="F32" s="6">
        <f t="shared" si="13"/>
        <v>8.9073904830043127E-2</v>
      </c>
      <c r="G32" s="2"/>
      <c r="H32" s="7">
        <v>14188.825568157699</v>
      </c>
      <c r="I32" s="2"/>
      <c r="J32" s="6">
        <f t="shared" si="14"/>
        <v>2.7462172165022218E-2</v>
      </c>
      <c r="K32" s="2"/>
      <c r="L32" s="7">
        <f t="shared" si="15"/>
        <v>352.77443184230106</v>
      </c>
      <c r="M32" s="2"/>
      <c r="N32" s="6">
        <f t="shared" si="16"/>
        <v>2.4862835204204001E-2</v>
      </c>
      <c r="O32" s="11"/>
      <c r="P32" s="7">
        <v>107773.3</v>
      </c>
      <c r="Q32" s="2"/>
      <c r="R32" s="6">
        <f t="shared" si="17"/>
        <v>7.7092370548995259E-2</v>
      </c>
      <c r="S32" s="2"/>
      <c r="T32" s="7">
        <v>125634.98534378799</v>
      </c>
      <c r="U32" s="2"/>
      <c r="V32" s="6">
        <f t="shared" si="18"/>
        <v>3.2569600167517705E-2</v>
      </c>
      <c r="W32" s="2"/>
      <c r="X32" s="7">
        <f t="shared" si="19"/>
        <v>-17861.685343787991</v>
      </c>
      <c r="Y32" s="2"/>
      <c r="Z32" s="6">
        <f t="shared" si="20"/>
        <v>-0.14217126937143515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7">
        <v>5039.95</v>
      </c>
      <c r="E33" s="2"/>
      <c r="F33" s="6">
        <f t="shared" si="13"/>
        <v>3.0871982907532583E-2</v>
      </c>
      <c r="G33" s="2"/>
      <c r="H33" s="7">
        <v>9805.6976785730803</v>
      </c>
      <c r="I33" s="2"/>
      <c r="J33" s="6">
        <f t="shared" si="14"/>
        <v>1.8978720723120224E-2</v>
      </c>
      <c r="K33" s="2"/>
      <c r="L33" s="7">
        <f t="shared" si="15"/>
        <v>-4765.7476785730805</v>
      </c>
      <c r="M33" s="2"/>
      <c r="N33" s="6">
        <f t="shared" si="16"/>
        <v>-0.48601821459241534</v>
      </c>
      <c r="O33" s="11"/>
      <c r="P33" s="7">
        <v>55789.98</v>
      </c>
      <c r="Q33" s="2"/>
      <c r="R33" s="6">
        <f t="shared" si="17"/>
        <v>3.9907674823736812E-2</v>
      </c>
      <c r="S33" s="2"/>
      <c r="T33" s="7">
        <v>83506.501158173094</v>
      </c>
      <c r="U33" s="2"/>
      <c r="V33" s="6">
        <f t="shared" si="18"/>
        <v>2.1648216431654408E-2</v>
      </c>
      <c r="W33" s="2"/>
      <c r="X33" s="7">
        <f t="shared" si="19"/>
        <v>-27716.521158173091</v>
      </c>
      <c r="Y33" s="2"/>
      <c r="Z33" s="6">
        <f t="shared" si="20"/>
        <v>-0.33190854333214237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7">
        <v>53408.89</v>
      </c>
      <c r="E34" s="2"/>
      <c r="F34" s="6">
        <f t="shared" si="13"/>
        <v>0.32715370969757401</v>
      </c>
      <c r="G34" s="2"/>
      <c r="H34" s="7">
        <v>77729.230769230693</v>
      </c>
      <c r="I34" s="2"/>
      <c r="J34" s="6">
        <f t="shared" si="14"/>
        <v>0.15044328421584208</v>
      </c>
      <c r="K34" s="2"/>
      <c r="L34" s="7">
        <f t="shared" si="15"/>
        <v>-24320.340769230694</v>
      </c>
      <c r="M34" s="2"/>
      <c r="N34" s="6">
        <f t="shared" si="16"/>
        <v>-0.31288539110125813</v>
      </c>
      <c r="O34" s="11"/>
      <c r="P34" s="7">
        <v>543838.42000000004</v>
      </c>
      <c r="Q34" s="2"/>
      <c r="R34" s="6">
        <f t="shared" si="17"/>
        <v>0.38901836534113843</v>
      </c>
      <c r="S34" s="2"/>
      <c r="T34" s="7">
        <v>710804.11538461503</v>
      </c>
      <c r="U34" s="2"/>
      <c r="V34" s="6">
        <f t="shared" si="18"/>
        <v>0.18426878287249079</v>
      </c>
      <c r="W34" s="2"/>
      <c r="X34" s="7">
        <f t="shared" si="19"/>
        <v>-166965.69538461498</v>
      </c>
      <c r="Y34" s="2"/>
      <c r="Z34" s="6">
        <f t="shared" si="20"/>
        <v>-0.23489691712641547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7">
        <v>347.65</v>
      </c>
      <c r="E35" s="2"/>
      <c r="F35" s="6">
        <f t="shared" si="13"/>
        <v>2.1295141534744795E-3</v>
      </c>
      <c r="G35" s="2"/>
      <c r="H35" s="7">
        <v>627.49240010000005</v>
      </c>
      <c r="I35" s="2"/>
      <c r="J35" s="6">
        <f t="shared" si="14"/>
        <v>1.2144982853592636E-3</v>
      </c>
      <c r="K35" s="2"/>
      <c r="L35" s="7">
        <f t="shared" si="15"/>
        <v>-279.84240010000008</v>
      </c>
      <c r="M35" s="2"/>
      <c r="N35" s="6">
        <f t="shared" si="16"/>
        <v>-0.44596938553423615</v>
      </c>
      <c r="O35" s="11"/>
      <c r="P35" s="7">
        <v>3956.47</v>
      </c>
      <c r="Q35" s="2"/>
      <c r="R35" s="6">
        <f t="shared" si="17"/>
        <v>2.8301411509713743E-3</v>
      </c>
      <c r="S35" s="2"/>
      <c r="T35" s="7">
        <v>5353.2277624999997</v>
      </c>
      <c r="U35" s="2"/>
      <c r="V35" s="6">
        <f t="shared" si="18"/>
        <v>1.3877701927785615E-3</v>
      </c>
      <c r="W35" s="2"/>
      <c r="X35" s="7">
        <f t="shared" si="19"/>
        <v>-1396.7577624999999</v>
      </c>
      <c r="Y35" s="2"/>
      <c r="Z35" s="6">
        <f t="shared" si="20"/>
        <v>-0.26091879973507853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7">
        <v>6315.19</v>
      </c>
      <c r="E36" s="2"/>
      <c r="F36" s="6">
        <f t="shared" si="13"/>
        <v>3.8683407124638282E-2</v>
      </c>
      <c r="G36" s="2"/>
      <c r="H36" s="7">
        <v>7486.5938884615498</v>
      </c>
      <c r="I36" s="2"/>
      <c r="J36" s="6">
        <f t="shared" si="14"/>
        <v>1.449014432568216E-2</v>
      </c>
      <c r="K36" s="2"/>
      <c r="L36" s="7">
        <f t="shared" si="15"/>
        <v>-1171.4038884615502</v>
      </c>
      <c r="M36" s="2"/>
      <c r="N36" s="6">
        <f t="shared" si="16"/>
        <v>-0.1564668667639279</v>
      </c>
      <c r="O36" s="11"/>
      <c r="P36" s="7">
        <v>72169.67</v>
      </c>
      <c r="Q36" s="2"/>
      <c r="R36" s="6">
        <f t="shared" si="17"/>
        <v>5.1624390661125771E-2</v>
      </c>
      <c r="S36" s="2"/>
      <c r="T36" s="7">
        <v>65882.0262184616</v>
      </c>
      <c r="U36" s="2"/>
      <c r="V36" s="6">
        <f t="shared" si="18"/>
        <v>1.707924943270835E-2</v>
      </c>
      <c r="W36" s="2"/>
      <c r="X36" s="7">
        <f t="shared" si="19"/>
        <v>6287.6437815383979</v>
      </c>
      <c r="Y36" s="2"/>
      <c r="Z36" s="6">
        <f t="shared" si="20"/>
        <v>9.5437923549723205E-2</v>
      </c>
    </row>
    <row r="37" spans="1:26" s="24" customFormat="1" hidden="1" outlineLevel="2" x14ac:dyDescent="0.25">
      <c r="A37" s="26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3"/>
        <v>0</v>
      </c>
      <c r="G37" s="2"/>
      <c r="H37" s="7">
        <v>0</v>
      </c>
      <c r="I37" s="2"/>
      <c r="J37" s="6">
        <f t="shared" si="14"/>
        <v>0</v>
      </c>
      <c r="K37" s="2"/>
      <c r="L37" s="7">
        <f t="shared" si="15"/>
        <v>0</v>
      </c>
      <c r="M37" s="2"/>
      <c r="N37" s="6">
        <f t="shared" si="16"/>
        <v>0</v>
      </c>
      <c r="O37" s="11"/>
      <c r="P37" s="7"/>
      <c r="Q37" s="2"/>
      <c r="R37" s="6">
        <f t="shared" si="17"/>
        <v>0</v>
      </c>
      <c r="S37" s="2"/>
      <c r="T37" s="7">
        <v>0</v>
      </c>
      <c r="U37" s="2"/>
      <c r="V37" s="6">
        <f t="shared" si="18"/>
        <v>0</v>
      </c>
      <c r="W37" s="2"/>
      <c r="X37" s="7">
        <f t="shared" si="19"/>
        <v>0</v>
      </c>
      <c r="Y37" s="2"/>
      <c r="Z37" s="6">
        <f t="shared" si="20"/>
        <v>0</v>
      </c>
    </row>
    <row r="38" spans="1:26" s="24" customFormat="1" hidden="1" outlineLevel="2" x14ac:dyDescent="0.25">
      <c r="A38" s="26"/>
      <c r="B38" s="11" t="str">
        <f>CONCATENATE("          ", "6117", " - ", "RETIREMENT STAFF HOURLY")</f>
        <v xml:space="preserve">          6117 - RETIREMENT STAFF HOURLY</v>
      </c>
      <c r="C38" s="11"/>
      <c r="D38" s="7">
        <v>1408.97</v>
      </c>
      <c r="E38" s="2"/>
      <c r="F38" s="6">
        <f t="shared" si="13"/>
        <v>8.6305812075965407E-3</v>
      </c>
      <c r="G38" s="2"/>
      <c r="H38" s="7"/>
      <c r="I38" s="2"/>
      <c r="J38" s="6">
        <f t="shared" si="14"/>
        <v>0</v>
      </c>
      <c r="K38" s="2"/>
      <c r="L38" s="7">
        <f t="shared" si="15"/>
        <v>1408.97</v>
      </c>
      <c r="M38" s="2"/>
      <c r="N38" s="6">
        <f t="shared" si="16"/>
        <v>0</v>
      </c>
      <c r="O38" s="11"/>
      <c r="P38" s="7">
        <v>15402.89</v>
      </c>
      <c r="Q38" s="2"/>
      <c r="R38" s="6">
        <f t="shared" si="17"/>
        <v>1.1017991500728042E-2</v>
      </c>
      <c r="S38" s="2"/>
      <c r="T38" s="7"/>
      <c r="U38" s="2"/>
      <c r="V38" s="6">
        <f t="shared" si="18"/>
        <v>0</v>
      </c>
      <c r="W38" s="2"/>
      <c r="X38" s="7">
        <f t="shared" si="19"/>
        <v>15402.89</v>
      </c>
      <c r="Y38" s="2"/>
      <c r="Z38" s="6">
        <f t="shared" si="20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7">
        <v>12746.94</v>
      </c>
      <c r="E39" s="2"/>
      <c r="F39" s="6">
        <f t="shared" si="13"/>
        <v>7.8080797191111703E-2</v>
      </c>
      <c r="G39" s="2"/>
      <c r="H39" s="7">
        <v>10350.2999423077</v>
      </c>
      <c r="I39" s="2"/>
      <c r="J39" s="6">
        <f t="shared" si="14"/>
        <v>2.003278690050032E-2</v>
      </c>
      <c r="K39" s="2"/>
      <c r="L39" s="7">
        <f t="shared" si="15"/>
        <v>2396.6400576923006</v>
      </c>
      <c r="M39" s="2"/>
      <c r="N39" s="6">
        <f t="shared" si="16"/>
        <v>0.23155271548178405</v>
      </c>
      <c r="O39" s="11"/>
      <c r="P39" s="7">
        <v>94119.75</v>
      </c>
      <c r="Q39" s="2"/>
      <c r="R39" s="6">
        <f t="shared" si="17"/>
        <v>6.7325716508437577E-2</v>
      </c>
      <c r="S39" s="2"/>
      <c r="T39" s="7">
        <v>90970.369492307698</v>
      </c>
      <c r="U39" s="2"/>
      <c r="V39" s="6">
        <f t="shared" si="18"/>
        <v>2.358314886055193E-2</v>
      </c>
      <c r="W39" s="2"/>
      <c r="X39" s="7">
        <f t="shared" si="19"/>
        <v>3149.3805076923018</v>
      </c>
      <c r="Y39" s="2"/>
      <c r="Z39" s="6">
        <f t="shared" si="20"/>
        <v>3.4619849575950198E-2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7">
        <v>8187.45</v>
      </c>
      <c r="E40" s="2"/>
      <c r="F40" s="6">
        <f t="shared" si="13"/>
        <v>5.0151850009678207E-2</v>
      </c>
      <c r="G40" s="2"/>
      <c r="H40" s="7">
        <v>7809.89873192307</v>
      </c>
      <c r="I40" s="2"/>
      <c r="J40" s="6">
        <f t="shared" si="14"/>
        <v>1.5115894020769759E-2</v>
      </c>
      <c r="K40" s="2"/>
      <c r="L40" s="7">
        <f t="shared" si="15"/>
        <v>377.55126807692977</v>
      </c>
      <c r="M40" s="2"/>
      <c r="N40" s="6">
        <f t="shared" si="16"/>
        <v>4.8342658597311086E-2</v>
      </c>
      <c r="O40" s="11"/>
      <c r="P40" s="7">
        <v>60931.89</v>
      </c>
      <c r="Q40" s="2"/>
      <c r="R40" s="6">
        <f t="shared" si="17"/>
        <v>4.3585784625047377E-2</v>
      </c>
      <c r="S40" s="2"/>
      <c r="T40" s="7">
        <v>66735.600551922995</v>
      </c>
      <c r="U40" s="2"/>
      <c r="V40" s="6">
        <f t="shared" si="18"/>
        <v>1.7300529951649945E-2</v>
      </c>
      <c r="W40" s="2"/>
      <c r="X40" s="7">
        <f t="shared" si="19"/>
        <v>-5803.7105519229954</v>
      </c>
      <c r="Y40" s="2"/>
      <c r="Z40" s="6">
        <f t="shared" si="20"/>
        <v>-8.6965734988890583E-2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7">
        <v>2832.44</v>
      </c>
      <c r="E41" s="2"/>
      <c r="F41" s="6">
        <f t="shared" si="13"/>
        <v>1.7349981501128306E-2</v>
      </c>
      <c r="G41" s="2"/>
      <c r="H41" s="7">
        <v>4025</v>
      </c>
      <c r="I41" s="2"/>
      <c r="J41" s="6">
        <f t="shared" si="14"/>
        <v>7.7903024766387699E-3</v>
      </c>
      <c r="K41" s="2"/>
      <c r="L41" s="7">
        <f t="shared" si="15"/>
        <v>-1192.56</v>
      </c>
      <c r="M41" s="2"/>
      <c r="N41" s="6">
        <f t="shared" si="16"/>
        <v>-0.29628819875776397</v>
      </c>
      <c r="O41" s="11"/>
      <c r="P41" s="7">
        <v>28063.26</v>
      </c>
      <c r="Q41" s="2"/>
      <c r="R41" s="6">
        <f t="shared" si="17"/>
        <v>2.0074204267038279E-2</v>
      </c>
      <c r="S41" s="2"/>
      <c r="T41" s="7">
        <v>40250</v>
      </c>
      <c r="U41" s="2"/>
      <c r="V41" s="6">
        <f t="shared" si="18"/>
        <v>1.0434405696433715E-2</v>
      </c>
      <c r="W41" s="2"/>
      <c r="X41" s="7">
        <f t="shared" si="19"/>
        <v>-12186.740000000002</v>
      </c>
      <c r="Y41" s="2"/>
      <c r="Z41" s="6">
        <f t="shared" si="20"/>
        <v>-0.30277614906832301</v>
      </c>
    </row>
    <row r="42" spans="1:26" s="25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148922.57000000004</v>
      </c>
      <c r="E42" s="1"/>
      <c r="F42" s="5">
        <f t="shared" ref="F42:F52" si="21">IF(D$12=0,0,D42/D$12)</f>
        <v>0.9122183822430433</v>
      </c>
      <c r="G42" s="1"/>
      <c r="H42" s="1">
        <f>SUM(OSRRefH22_1x_0)</f>
        <v>223899.10213346148</v>
      </c>
      <c r="I42" s="1"/>
      <c r="J42" s="5">
        <f t="shared" ref="J42:J52" si="22">IF(H$12=0,0,H42/H$12)</f>
        <v>0.43335198257577684</v>
      </c>
      <c r="K42" s="1"/>
      <c r="L42" s="1">
        <f t="shared" ref="L42:L52" si="23">+D42-H42</f>
        <v>-74976.532133461442</v>
      </c>
      <c r="M42" s="1"/>
      <c r="N42" s="5">
        <f t="shared" ref="N42:N52" si="24">IF(H42=0,0,L42/H42)</f>
        <v>-0.33486749798920379</v>
      </c>
      <c r="O42" s="13"/>
      <c r="P42" s="1">
        <f>SUM(OSRRefP22_1x_0)</f>
        <v>1361148.74</v>
      </c>
      <c r="Q42" s="1"/>
      <c r="R42" s="5">
        <f t="shared" ref="R42:R52" si="25">IF(P$12=0,0,P42/P$12)</f>
        <v>0.97365658318320025</v>
      </c>
      <c r="S42" s="1"/>
      <c r="T42" s="1">
        <f>SUM(OSRRefT22_1x_0)</f>
        <v>1906916.4507634621</v>
      </c>
      <c r="U42" s="1"/>
      <c r="V42" s="5">
        <f t="shared" ref="V42:V52" si="26">IF(T$12=0,0,T42/T$12)</f>
        <v>0.4943488168066939</v>
      </c>
      <c r="W42" s="1"/>
      <c r="X42" s="1">
        <f t="shared" ref="X42:X52" si="27">+P42-T42</f>
        <v>-545767.71076346212</v>
      </c>
      <c r="Y42" s="1"/>
      <c r="Z42" s="5">
        <f t="shared" ref="Z42:Z52" si="28">IF(T42=0,0,X42/T42)</f>
        <v>-0.28620431196393314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7">
        <v>22796.34</v>
      </c>
      <c r="E43" s="2"/>
      <c r="F43" s="6">
        <f t="shared" si="21"/>
        <v>0.13963793665300278</v>
      </c>
      <c r="G43" s="2"/>
      <c r="H43" s="7">
        <v>12452.884615384601</v>
      </c>
      <c r="I43" s="2"/>
      <c r="J43" s="6">
        <f t="shared" si="22"/>
        <v>2.4102295120627948E-2</v>
      </c>
      <c r="K43" s="2"/>
      <c r="L43" s="7">
        <f t="shared" si="23"/>
        <v>10343.455384615399</v>
      </c>
      <c r="M43" s="2"/>
      <c r="N43" s="6">
        <f t="shared" si="24"/>
        <v>0.83060718091267305</v>
      </c>
      <c r="O43" s="11"/>
      <c r="P43" s="7">
        <v>202220.49</v>
      </c>
      <c r="Q43" s="2"/>
      <c r="R43" s="6">
        <f t="shared" si="25"/>
        <v>0.1446523113580023</v>
      </c>
      <c r="S43" s="2"/>
      <c r="T43" s="7">
        <v>109585.384615385</v>
      </c>
      <c r="U43" s="2"/>
      <c r="V43" s="6">
        <f t="shared" si="26"/>
        <v>2.8408903390724292E-2</v>
      </c>
      <c r="W43" s="2"/>
      <c r="X43" s="7">
        <f t="shared" si="27"/>
        <v>92635.105384614988</v>
      </c>
      <c r="Y43" s="2"/>
      <c r="Z43" s="6">
        <f t="shared" si="28"/>
        <v>0.84532354117968467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7">
        <v>45634.07</v>
      </c>
      <c r="E44" s="2"/>
      <c r="F44" s="6">
        <f t="shared" si="21"/>
        <v>0.27952940585544411</v>
      </c>
      <c r="G44" s="2"/>
      <c r="H44" s="7">
        <v>66034.304423076901</v>
      </c>
      <c r="I44" s="2"/>
      <c r="J44" s="6">
        <f t="shared" si="22"/>
        <v>0.127808001314339</v>
      </c>
      <c r="K44" s="2"/>
      <c r="L44" s="7">
        <f t="shared" si="23"/>
        <v>-20400.234423076901</v>
      </c>
      <c r="M44" s="2"/>
      <c r="N44" s="6">
        <f t="shared" si="24"/>
        <v>-0.30893388824654089</v>
      </c>
      <c r="O44" s="11"/>
      <c r="P44" s="7">
        <v>440215.93</v>
      </c>
      <c r="Q44" s="2"/>
      <c r="R44" s="6">
        <f t="shared" si="25"/>
        <v>0.31489515118429662</v>
      </c>
      <c r="S44" s="2"/>
      <c r="T44" s="7">
        <v>581101.87892307702</v>
      </c>
      <c r="U44" s="2"/>
      <c r="V44" s="6">
        <f t="shared" si="26"/>
        <v>0.15064478896008174</v>
      </c>
      <c r="W44" s="2"/>
      <c r="X44" s="7">
        <f t="shared" si="27"/>
        <v>-140885.94892307703</v>
      </c>
      <c r="Y44" s="2"/>
      <c r="Z44" s="6">
        <f t="shared" si="28"/>
        <v>-0.24244621129804797</v>
      </c>
    </row>
    <row r="45" spans="1:26" s="24" customFormat="1" hidden="1" outlineLevel="2" x14ac:dyDescent="0.25">
      <c r="A45" s="26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7">
        <v>70096.23</v>
      </c>
      <c r="E46" s="2"/>
      <c r="F46" s="6">
        <f t="shared" si="21"/>
        <v>0.42937124662793735</v>
      </c>
      <c r="G46" s="2"/>
      <c r="H46" s="7">
        <v>90767.062399999995</v>
      </c>
      <c r="I46" s="2"/>
      <c r="J46" s="6">
        <f t="shared" si="22"/>
        <v>0.17567773192843372</v>
      </c>
      <c r="K46" s="2"/>
      <c r="L46" s="7">
        <f t="shared" si="23"/>
        <v>-20670.832399999999</v>
      </c>
      <c r="M46" s="2"/>
      <c r="N46" s="6">
        <f t="shared" si="24"/>
        <v>-0.22773494980928236</v>
      </c>
      <c r="O46" s="11"/>
      <c r="P46" s="7">
        <v>491027.52</v>
      </c>
      <c r="Q46" s="2"/>
      <c r="R46" s="6">
        <f t="shared" si="25"/>
        <v>0.3512416852930566</v>
      </c>
      <c r="S46" s="2"/>
      <c r="T46" s="7">
        <v>792268.48912000004</v>
      </c>
      <c r="U46" s="2"/>
      <c r="V46" s="6">
        <f t="shared" si="26"/>
        <v>0.20538759840940773</v>
      </c>
      <c r="W46" s="2"/>
      <c r="X46" s="7">
        <f t="shared" si="27"/>
        <v>-301240.96912000002</v>
      </c>
      <c r="Y46" s="2"/>
      <c r="Z46" s="6">
        <f t="shared" si="28"/>
        <v>-0.38022586188502683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7">
        <v>10996.89</v>
      </c>
      <c r="E47" s="2"/>
      <c r="F47" s="6">
        <f t="shared" si="21"/>
        <v>6.7360946064150634E-2</v>
      </c>
      <c r="G47" s="2"/>
      <c r="H47" s="7">
        <v>14857.580695000001</v>
      </c>
      <c r="I47" s="2"/>
      <c r="J47" s="6">
        <f t="shared" si="22"/>
        <v>2.875653358636494E-2</v>
      </c>
      <c r="K47" s="2"/>
      <c r="L47" s="7">
        <f t="shared" si="23"/>
        <v>-3860.6906950000011</v>
      </c>
      <c r="M47" s="2"/>
      <c r="N47" s="6">
        <f t="shared" si="24"/>
        <v>-0.25984652375465367</v>
      </c>
      <c r="O47" s="11"/>
      <c r="P47" s="7">
        <v>103265.12</v>
      </c>
      <c r="Q47" s="2"/>
      <c r="R47" s="6">
        <f t="shared" si="25"/>
        <v>7.3867580336005864E-2</v>
      </c>
      <c r="S47" s="2"/>
      <c r="T47" s="7">
        <v>112331.467405</v>
      </c>
      <c r="U47" s="2"/>
      <c r="V47" s="6">
        <f t="shared" si="26"/>
        <v>2.912079759949044E-2</v>
      </c>
      <c r="W47" s="2"/>
      <c r="X47" s="7">
        <f t="shared" si="27"/>
        <v>-9066.3474050000077</v>
      </c>
      <c r="Y47" s="2"/>
      <c r="Z47" s="6">
        <f t="shared" si="28"/>
        <v>-8.0710664735751989E-2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7">
        <v>847.56</v>
      </c>
      <c r="E48" s="2"/>
      <c r="F48" s="6">
        <f t="shared" si="21"/>
        <v>5.1916899638108152E-3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847.56</v>
      </c>
      <c r="M48" s="2"/>
      <c r="N48" s="6">
        <f t="shared" si="24"/>
        <v>0</v>
      </c>
      <c r="O48" s="11"/>
      <c r="P48" s="7">
        <v>2174.52</v>
      </c>
      <c r="Q48" s="2"/>
      <c r="R48" s="6">
        <f t="shared" si="25"/>
        <v>1.555477113591225E-3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2174.52</v>
      </c>
      <c r="Y48" s="2"/>
      <c r="Z48" s="6">
        <f t="shared" si="28"/>
        <v>0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7">
        <v>-1448.52</v>
      </c>
      <c r="E49" s="2"/>
      <c r="F49" s="6">
        <f t="shared" si="21"/>
        <v>-8.8728429213026129E-3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-1448.52</v>
      </c>
      <c r="M49" s="2"/>
      <c r="N49" s="6">
        <f t="shared" si="24"/>
        <v>0</v>
      </c>
      <c r="O49" s="11"/>
      <c r="P49" s="7">
        <v>111614.28</v>
      </c>
      <c r="Q49" s="2"/>
      <c r="R49" s="6">
        <f t="shared" si="25"/>
        <v>7.9839899421464411E-2</v>
      </c>
      <c r="S49" s="2"/>
      <c r="T49" s="7">
        <v>16306.67</v>
      </c>
      <c r="U49" s="2"/>
      <c r="V49" s="6">
        <f t="shared" si="26"/>
        <v>4.2273393872761435E-3</v>
      </c>
      <c r="W49" s="2"/>
      <c r="X49" s="7">
        <f t="shared" si="27"/>
        <v>95307.61</v>
      </c>
      <c r="Y49" s="2"/>
      <c r="Z49" s="6">
        <f t="shared" si="28"/>
        <v>5.84470097205622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7"/>
      <c r="E50" s="2"/>
      <c r="F50" s="6">
        <f t="shared" si="21"/>
        <v>0</v>
      </c>
      <c r="G50" s="2"/>
      <c r="H50" s="7">
        <v>39787.269999999997</v>
      </c>
      <c r="I50" s="2"/>
      <c r="J50" s="6">
        <f t="shared" si="22"/>
        <v>7.7007420626011278E-2</v>
      </c>
      <c r="K50" s="2"/>
      <c r="L50" s="7">
        <f t="shared" si="23"/>
        <v>-39787.269999999997</v>
      </c>
      <c r="M50" s="2"/>
      <c r="N50" s="6">
        <f t="shared" si="24"/>
        <v>-1</v>
      </c>
      <c r="O50" s="11"/>
      <c r="P50" s="7">
        <v>10630.88</v>
      </c>
      <c r="Q50" s="2"/>
      <c r="R50" s="6">
        <f t="shared" si="25"/>
        <v>7.6044784767832349E-3</v>
      </c>
      <c r="S50" s="2"/>
      <c r="T50" s="7">
        <v>295322.56069999997</v>
      </c>
      <c r="U50" s="2"/>
      <c r="V50" s="6">
        <f t="shared" si="26"/>
        <v>7.6559389059713573E-2</v>
      </c>
      <c r="W50" s="2"/>
      <c r="X50" s="7">
        <f t="shared" si="27"/>
        <v>-284691.68069999997</v>
      </c>
      <c r="Y50" s="2"/>
      <c r="Z50" s="6">
        <f t="shared" si="28"/>
        <v>-0.96400247927282712</v>
      </c>
    </row>
    <row r="51" spans="1:26" s="24" customFormat="1" hidden="1" outlineLevel="2" x14ac:dyDescent="0.25">
      <c r="A51" s="26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/>
      <c r="Q51" s="2"/>
      <c r="R51" s="6">
        <f t="shared" si="25"/>
        <v>0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0</v>
      </c>
      <c r="Y51" s="2"/>
      <c r="Z51" s="6">
        <f t="shared" si="28"/>
        <v>0</v>
      </c>
    </row>
    <row r="52" spans="1:26" s="24" customFormat="1" hidden="1" outlineLevel="2" x14ac:dyDescent="0.25">
      <c r="A52" s="26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1"/>
        <v>0</v>
      </c>
      <c r="G52" s="2"/>
      <c r="H52" s="7">
        <v>0</v>
      </c>
      <c r="I52" s="2"/>
      <c r="J52" s="6">
        <f t="shared" si="22"/>
        <v>0</v>
      </c>
      <c r="K52" s="2"/>
      <c r="L52" s="7">
        <f t="shared" si="23"/>
        <v>0</v>
      </c>
      <c r="M52" s="2"/>
      <c r="N52" s="6">
        <f t="shared" si="24"/>
        <v>0</v>
      </c>
      <c r="O52" s="11"/>
      <c r="P52" s="7"/>
      <c r="Q52" s="2"/>
      <c r="R52" s="6">
        <f t="shared" si="25"/>
        <v>0</v>
      </c>
      <c r="S52" s="2"/>
      <c r="T52" s="7">
        <v>0</v>
      </c>
      <c r="U52" s="2"/>
      <c r="V52" s="6">
        <f t="shared" si="26"/>
        <v>0</v>
      </c>
      <c r="W52" s="2"/>
      <c r="X52" s="7">
        <f t="shared" si="27"/>
        <v>0</v>
      </c>
      <c r="Y52" s="2"/>
      <c r="Z52" s="6">
        <f t="shared" si="28"/>
        <v>0</v>
      </c>
    </row>
    <row r="53" spans="1:26" s="25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190.89</v>
      </c>
      <c r="E53" s="1"/>
      <c r="F53" s="5">
        <f t="shared" ref="F53:F62" si="29">IF(D$12=0,0,D53/D$12)</f>
        <v>1.1692879527016925E-3</v>
      </c>
      <c r="G53" s="1"/>
      <c r="H53" s="1">
        <f>SUM(OSRRefH22_2x_0)</f>
        <v>1489</v>
      </c>
      <c r="I53" s="1"/>
      <c r="J53" s="5">
        <f t="shared" ref="J53:J62" si="30">IF(H$12=0,0,H53/H$12)</f>
        <v>2.8819280466372988E-3</v>
      </c>
      <c r="K53" s="1"/>
      <c r="L53" s="1">
        <f t="shared" ref="L53:L62" si="31">+D53-H53</f>
        <v>-1298.1100000000001</v>
      </c>
      <c r="M53" s="1"/>
      <c r="N53" s="5">
        <f t="shared" ref="N53:N62" si="32">IF(H53=0,0,L53/H53)</f>
        <v>-0.87179986568166568</v>
      </c>
      <c r="O53" s="13"/>
      <c r="P53" s="1">
        <f>SUM(OSRRefP22_2x_0)</f>
        <v>2009.08</v>
      </c>
      <c r="Q53" s="1"/>
      <c r="R53" s="5">
        <f t="shared" ref="R53:R62" si="33">IF(P$12=0,0,P53/P$12)</f>
        <v>1.4371346133279334E-3</v>
      </c>
      <c r="S53" s="1"/>
      <c r="T53" s="1">
        <f>SUM(OSRRefT22_2x_0)</f>
        <v>17669</v>
      </c>
      <c r="U53" s="1"/>
      <c r="V53" s="5">
        <f t="shared" ref="V53:V62" si="34">IF(T$12=0,0,T53/T$12)</f>
        <v>4.5805096708145913E-3</v>
      </c>
      <c r="W53" s="1"/>
      <c r="X53" s="1">
        <f t="shared" ref="X53:X62" si="35">+P53-T53</f>
        <v>-15659.92</v>
      </c>
      <c r="Y53" s="1"/>
      <c r="Z53" s="5">
        <f t="shared" ref="Z53:Z62" si="36">IF(T53=0,0,X53/T53)</f>
        <v>-0.88629350840455035</v>
      </c>
    </row>
    <row r="54" spans="1:26" s="24" customFormat="1" hidden="1" outlineLevel="2" x14ac:dyDescent="0.25">
      <c r="A54" s="26"/>
      <c r="B54" s="11" t="str">
        <f>CONCATENATE("          ", "6362", " - ", "ADVERTISING EXPENSE")</f>
        <v xml:space="preserve">          6362 - ADVERTISING EXPENSE</v>
      </c>
      <c r="C54" s="11"/>
      <c r="D54" s="7">
        <v>190.89</v>
      </c>
      <c r="E54" s="2"/>
      <c r="F54" s="6">
        <f t="shared" si="29"/>
        <v>1.1692879527016925E-3</v>
      </c>
      <c r="G54" s="2"/>
      <c r="H54" s="7">
        <v>1489</v>
      </c>
      <c r="I54" s="2"/>
      <c r="J54" s="6">
        <f t="shared" si="30"/>
        <v>2.8819280466372988E-3</v>
      </c>
      <c r="K54" s="2"/>
      <c r="L54" s="7">
        <f t="shared" si="31"/>
        <v>-1298.1100000000001</v>
      </c>
      <c r="M54" s="2"/>
      <c r="N54" s="6">
        <f t="shared" si="32"/>
        <v>-0.87179986568166568</v>
      </c>
      <c r="O54" s="11"/>
      <c r="P54" s="7">
        <v>2009.08</v>
      </c>
      <c r="Q54" s="2"/>
      <c r="R54" s="6">
        <f t="shared" si="33"/>
        <v>1.4371346133279334E-3</v>
      </c>
      <c r="S54" s="2"/>
      <c r="T54" s="7">
        <v>17669</v>
      </c>
      <c r="U54" s="2"/>
      <c r="V54" s="6">
        <f t="shared" si="34"/>
        <v>4.5805096708145913E-3</v>
      </c>
      <c r="W54" s="2"/>
      <c r="X54" s="7">
        <f t="shared" si="35"/>
        <v>-15659.92</v>
      </c>
      <c r="Y54" s="2"/>
      <c r="Z54" s="6">
        <f t="shared" si="36"/>
        <v>-0.88629350840455035</v>
      </c>
    </row>
    <row r="55" spans="1:26" s="25" customFormat="1" outlineLevel="1" collapsed="1" x14ac:dyDescent="0.25">
      <c r="A55" s="27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0.57999999999999996</v>
      </c>
      <c r="E55" s="1"/>
      <c r="F55" s="5">
        <f t="shared" si="29"/>
        <v>3.5527634374088826E-6</v>
      </c>
      <c r="G55" s="1"/>
      <c r="H55" s="1">
        <f>SUM(OSRRefH22_3x_0)</f>
        <v>36</v>
      </c>
      <c r="I55" s="1"/>
      <c r="J55" s="5">
        <f t="shared" si="30"/>
        <v>6.9677239542607637E-5</v>
      </c>
      <c r="K55" s="1"/>
      <c r="L55" s="1">
        <f t="shared" si="31"/>
        <v>-35.42</v>
      </c>
      <c r="M55" s="1"/>
      <c r="N55" s="5">
        <f t="shared" si="32"/>
        <v>-0.98388888888888892</v>
      </c>
      <c r="O55" s="13"/>
      <c r="P55" s="1">
        <f>SUM(OSRRefP22_3x_0)</f>
        <v>62.52</v>
      </c>
      <c r="Q55" s="1"/>
      <c r="R55" s="5">
        <f t="shared" si="33"/>
        <v>4.4721791081122905E-5</v>
      </c>
      <c r="S55" s="1"/>
      <c r="T55" s="1">
        <f>SUM(OSRRefT22_3x_0)</f>
        <v>374</v>
      </c>
      <c r="U55" s="1"/>
      <c r="V55" s="5">
        <f t="shared" si="34"/>
        <v>9.6955720011582836E-5</v>
      </c>
      <c r="W55" s="1"/>
      <c r="X55" s="1">
        <f t="shared" si="35"/>
        <v>-311.48</v>
      </c>
      <c r="Y55" s="1"/>
      <c r="Z55" s="5">
        <f t="shared" si="36"/>
        <v>-0.83283422459893053</v>
      </c>
    </row>
    <row r="56" spans="1:26" s="24" customFormat="1" hidden="1" outlineLevel="2" x14ac:dyDescent="0.25">
      <c r="A56" s="26"/>
      <c r="B56" s="11" t="str">
        <f>CONCATENATE("          ", "6272", " - ", "CASH (OVER/SHORT)")</f>
        <v xml:space="preserve">          6272 - CASH (OVER/SHORT)</v>
      </c>
      <c r="C56" s="11"/>
      <c r="D56" s="7">
        <v>0.57999999999999996</v>
      </c>
      <c r="E56" s="2"/>
      <c r="F56" s="6">
        <f t="shared" si="29"/>
        <v>3.5527634374088826E-6</v>
      </c>
      <c r="G56" s="2"/>
      <c r="H56" s="7">
        <v>36</v>
      </c>
      <c r="I56" s="2"/>
      <c r="J56" s="6">
        <f t="shared" si="30"/>
        <v>6.9677239542607637E-5</v>
      </c>
      <c r="K56" s="2"/>
      <c r="L56" s="7">
        <f t="shared" si="31"/>
        <v>-35.42</v>
      </c>
      <c r="M56" s="2"/>
      <c r="N56" s="6">
        <f t="shared" si="32"/>
        <v>-0.98388888888888892</v>
      </c>
      <c r="O56" s="11"/>
      <c r="P56" s="7">
        <v>62.52</v>
      </c>
      <c r="Q56" s="2"/>
      <c r="R56" s="6">
        <f t="shared" si="33"/>
        <v>4.4721791081122905E-5</v>
      </c>
      <c r="S56" s="2"/>
      <c r="T56" s="7">
        <v>374</v>
      </c>
      <c r="U56" s="2"/>
      <c r="V56" s="6">
        <f t="shared" si="34"/>
        <v>9.6955720011582836E-5</v>
      </c>
      <c r="W56" s="2"/>
      <c r="X56" s="7">
        <f t="shared" si="35"/>
        <v>-311.48</v>
      </c>
      <c r="Y56" s="2"/>
      <c r="Z56" s="6">
        <f t="shared" si="36"/>
        <v>-0.83283422459893053</v>
      </c>
    </row>
    <row r="57" spans="1:26" s="25" customFormat="1" outlineLevel="1" collapsed="1" x14ac:dyDescent="0.25">
      <c r="A57" s="27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1044.54</v>
      </c>
      <c r="E57" s="1"/>
      <c r="F57" s="5">
        <f t="shared" si="29"/>
        <v>6.3982819326053007E-3</v>
      </c>
      <c r="G57" s="1"/>
      <c r="H57" s="1">
        <f>SUM(OSRRefH22_4x_0)</f>
        <v>1415</v>
      </c>
      <c r="I57" s="1"/>
      <c r="J57" s="5">
        <f t="shared" si="30"/>
        <v>2.7387026097997168E-3</v>
      </c>
      <c r="K57" s="1"/>
      <c r="L57" s="1">
        <f t="shared" si="31"/>
        <v>-370.46000000000004</v>
      </c>
      <c r="M57" s="1"/>
      <c r="N57" s="5">
        <f t="shared" si="32"/>
        <v>-0.26180918727915198</v>
      </c>
      <c r="O57" s="13"/>
      <c r="P57" s="1">
        <f>SUM(OSRRefP22_4x_0)</f>
        <v>6669.39</v>
      </c>
      <c r="Q57" s="1"/>
      <c r="R57" s="5">
        <f t="shared" si="33"/>
        <v>4.7707464206418792E-3</v>
      </c>
      <c r="S57" s="1"/>
      <c r="T57" s="1">
        <f>SUM(OSRRefT22_4x_0)</f>
        <v>30323</v>
      </c>
      <c r="U57" s="1"/>
      <c r="V57" s="5">
        <f t="shared" si="34"/>
        <v>7.8609312778375046E-3</v>
      </c>
      <c r="W57" s="1"/>
      <c r="X57" s="1">
        <f t="shared" si="35"/>
        <v>-23653.61</v>
      </c>
      <c r="Y57" s="1"/>
      <c r="Z57" s="5">
        <f t="shared" si="36"/>
        <v>-0.78005507370642746</v>
      </c>
    </row>
    <row r="58" spans="1:26" s="24" customFormat="1" hidden="1" outlineLevel="2" x14ac:dyDescent="0.25">
      <c r="A58" s="26"/>
      <c r="B58" s="11" t="str">
        <f>CONCATENATE("          ", "6381", " - ", "BANK/CREDIT CARD FEES")</f>
        <v xml:space="preserve">          6381 - BANK/CREDIT CARD FEES</v>
      </c>
      <c r="C58" s="11"/>
      <c r="D58" s="7">
        <v>1044.54</v>
      </c>
      <c r="E58" s="2"/>
      <c r="F58" s="6">
        <f t="shared" si="29"/>
        <v>6.3982819326053007E-3</v>
      </c>
      <c r="G58" s="2"/>
      <c r="H58" s="7">
        <v>1415</v>
      </c>
      <c r="I58" s="2"/>
      <c r="J58" s="6">
        <f t="shared" si="30"/>
        <v>2.7387026097997168E-3</v>
      </c>
      <c r="K58" s="2"/>
      <c r="L58" s="7">
        <f t="shared" si="31"/>
        <v>-370.46000000000004</v>
      </c>
      <c r="M58" s="2"/>
      <c r="N58" s="6">
        <f t="shared" si="32"/>
        <v>-0.26180918727915198</v>
      </c>
      <c r="O58" s="11"/>
      <c r="P58" s="7">
        <v>6669.39</v>
      </c>
      <c r="Q58" s="2"/>
      <c r="R58" s="6">
        <f t="shared" si="33"/>
        <v>4.7707464206418792E-3</v>
      </c>
      <c r="S58" s="2"/>
      <c r="T58" s="7">
        <v>30323</v>
      </c>
      <c r="U58" s="2"/>
      <c r="V58" s="6">
        <f t="shared" si="34"/>
        <v>7.8609312778375046E-3</v>
      </c>
      <c r="W58" s="2"/>
      <c r="X58" s="7">
        <f t="shared" si="35"/>
        <v>-23653.61</v>
      </c>
      <c r="Y58" s="2"/>
      <c r="Z58" s="6">
        <f t="shared" si="36"/>
        <v>-0.78005507370642746</v>
      </c>
    </row>
    <row r="59" spans="1:26" s="25" customFormat="1" outlineLevel="1" collapsed="1" x14ac:dyDescent="0.25">
      <c r="A59" s="27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37479.26</v>
      </c>
      <c r="E59" s="1"/>
      <c r="F59" s="5">
        <f t="shared" si="29"/>
        <v>0.22957749067093319</v>
      </c>
      <c r="G59" s="1"/>
      <c r="H59" s="1">
        <f>SUM(OSRRefH22_5x_0)</f>
        <v>37930</v>
      </c>
      <c r="I59" s="1"/>
      <c r="J59" s="5">
        <f t="shared" si="30"/>
        <v>7.3412713773641877E-2</v>
      </c>
      <c r="K59" s="1"/>
      <c r="L59" s="1">
        <f t="shared" si="31"/>
        <v>-450.73999999999796</v>
      </c>
      <c r="M59" s="1"/>
      <c r="N59" s="5">
        <f t="shared" si="32"/>
        <v>-1.1883469549169469E-2</v>
      </c>
      <c r="O59" s="13"/>
      <c r="P59" s="1">
        <f>SUM(OSRRefP22_5x_0)</f>
        <v>377087.68</v>
      </c>
      <c r="Q59" s="1"/>
      <c r="R59" s="5">
        <f t="shared" si="33"/>
        <v>0.26973826686220936</v>
      </c>
      <c r="S59" s="1"/>
      <c r="T59" s="1">
        <f>SUM(OSRRefT22_5x_0)</f>
        <v>381904</v>
      </c>
      <c r="U59" s="1"/>
      <c r="V59" s="5">
        <f t="shared" si="34"/>
        <v>9.9004752126480036E-2</v>
      </c>
      <c r="W59" s="1"/>
      <c r="X59" s="1">
        <f t="shared" si="35"/>
        <v>-4816.320000000007</v>
      </c>
      <c r="Y59" s="1"/>
      <c r="Z59" s="5">
        <f t="shared" si="36"/>
        <v>-1.2611336880472598E-2</v>
      </c>
    </row>
    <row r="60" spans="1:26" s="24" customFormat="1" hidden="1" outlineLevel="2" x14ac:dyDescent="0.25">
      <c r="A60" s="26"/>
      <c r="B60" s="11" t="str">
        <f>CONCATENATE("          ", "6321", " - ", "BUILDING DEPRECIATION")</f>
        <v xml:space="preserve">          6321 - BUILDING DEPRECIATION</v>
      </c>
      <c r="C60" s="11"/>
      <c r="D60" s="7">
        <v>23583.49</v>
      </c>
      <c r="E60" s="2"/>
      <c r="F60" s="6">
        <f t="shared" si="29"/>
        <v>0.14445958792844488</v>
      </c>
      <c r="G60" s="2"/>
      <c r="H60" s="7"/>
      <c r="I60" s="2"/>
      <c r="J60" s="6">
        <f t="shared" si="30"/>
        <v>0</v>
      </c>
      <c r="K60" s="2"/>
      <c r="L60" s="7">
        <f t="shared" si="31"/>
        <v>23583.49</v>
      </c>
      <c r="M60" s="2"/>
      <c r="N60" s="6">
        <f t="shared" si="32"/>
        <v>0</v>
      </c>
      <c r="O60" s="11"/>
      <c r="P60" s="7">
        <v>236619.09</v>
      </c>
      <c r="Q60" s="2"/>
      <c r="R60" s="6">
        <f t="shared" si="33"/>
        <v>0.16925830948153259</v>
      </c>
      <c r="S60" s="2"/>
      <c r="T60" s="7"/>
      <c r="U60" s="2"/>
      <c r="V60" s="6">
        <f t="shared" si="34"/>
        <v>0</v>
      </c>
      <c r="W60" s="2"/>
      <c r="X60" s="7">
        <f t="shared" si="35"/>
        <v>236619.09</v>
      </c>
      <c r="Y60" s="2"/>
      <c r="Z60" s="6">
        <f t="shared" si="36"/>
        <v>0</v>
      </c>
    </row>
    <row r="61" spans="1:26" s="24" customFormat="1" hidden="1" outlineLevel="2" x14ac:dyDescent="0.25">
      <c r="A61" s="26"/>
      <c r="B61" s="11" t="str">
        <f>CONCATENATE("          ", "6322", " - ", "EQUIPMENT DEPRECIATION EXPENSE")</f>
        <v xml:space="preserve">          6322 - EQUIPMENT DEPRECIATION EXPENSE</v>
      </c>
      <c r="C61" s="11"/>
      <c r="D61" s="7">
        <v>13895.77</v>
      </c>
      <c r="E61" s="2"/>
      <c r="F61" s="6">
        <f t="shared" si="29"/>
        <v>8.5117902742488344E-2</v>
      </c>
      <c r="G61" s="2"/>
      <c r="H61" s="7">
        <v>37380</v>
      </c>
      <c r="I61" s="2"/>
      <c r="J61" s="6">
        <f t="shared" si="30"/>
        <v>7.2348200391740919E-2</v>
      </c>
      <c r="K61" s="2"/>
      <c r="L61" s="7">
        <f t="shared" si="31"/>
        <v>-23484.23</v>
      </c>
      <c r="M61" s="2"/>
      <c r="N61" s="6">
        <f t="shared" si="32"/>
        <v>-0.62825655430711613</v>
      </c>
      <c r="O61" s="11"/>
      <c r="P61" s="7">
        <v>140468.59</v>
      </c>
      <c r="Q61" s="2"/>
      <c r="R61" s="6">
        <f t="shared" si="33"/>
        <v>0.10047995738067675</v>
      </c>
      <c r="S61" s="2"/>
      <c r="T61" s="7">
        <v>376404</v>
      </c>
      <c r="U61" s="2"/>
      <c r="V61" s="6">
        <f t="shared" si="34"/>
        <v>9.7578932714544986E-2</v>
      </c>
      <c r="W61" s="2"/>
      <c r="X61" s="7">
        <f t="shared" si="35"/>
        <v>-235935.41</v>
      </c>
      <c r="Y61" s="2"/>
      <c r="Z61" s="6">
        <f t="shared" si="36"/>
        <v>-0.62681430059191723</v>
      </c>
    </row>
    <row r="62" spans="1:26" s="24" customFormat="1" hidden="1" outlineLevel="2" x14ac:dyDescent="0.25">
      <c r="A62" s="26"/>
      <c r="B62" s="11" t="str">
        <f>CONCATENATE("          ", "6326", " - ", "VEHICLES DEPRECIATION EXPENSE")</f>
        <v xml:space="preserve">          6326 - VEHICLES DEPRECIATION EXPENSE</v>
      </c>
      <c r="C62" s="11"/>
      <c r="D62" s="7"/>
      <c r="E62" s="2"/>
      <c r="F62" s="6">
        <f t="shared" si="29"/>
        <v>0</v>
      </c>
      <c r="G62" s="2"/>
      <c r="H62" s="7">
        <v>550</v>
      </c>
      <c r="I62" s="2"/>
      <c r="J62" s="6">
        <f t="shared" si="30"/>
        <v>1.0645133819009499E-3</v>
      </c>
      <c r="K62" s="2"/>
      <c r="L62" s="7">
        <f t="shared" si="31"/>
        <v>-550</v>
      </c>
      <c r="M62" s="2"/>
      <c r="N62" s="6">
        <f t="shared" si="32"/>
        <v>-1</v>
      </c>
      <c r="O62" s="11"/>
      <c r="P62" s="7"/>
      <c r="Q62" s="2"/>
      <c r="R62" s="6">
        <f t="shared" si="33"/>
        <v>0</v>
      </c>
      <c r="S62" s="2"/>
      <c r="T62" s="7">
        <v>5500</v>
      </c>
      <c r="U62" s="2"/>
      <c r="V62" s="6">
        <f t="shared" si="34"/>
        <v>1.4258194119350417E-3</v>
      </c>
      <c r="W62" s="2"/>
      <c r="X62" s="7">
        <f t="shared" si="35"/>
        <v>-5500</v>
      </c>
      <c r="Y62" s="2"/>
      <c r="Z62" s="6">
        <f t="shared" si="36"/>
        <v>-1</v>
      </c>
    </row>
    <row r="63" spans="1:26" s="25" customFormat="1" outlineLevel="1" collapsed="1" x14ac:dyDescent="0.25">
      <c r="A63" s="27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SUM(OSRRefD22_6x_0)</f>
        <v>7325.88</v>
      </c>
      <c r="E63" s="1"/>
      <c r="F63" s="5">
        <f t="shared" ref="F63:F85" si="37">IF(D$12=0,0,D63/D$12)</f>
        <v>4.487434243249136E-2</v>
      </c>
      <c r="G63" s="1"/>
      <c r="H63" s="1">
        <f>SUM(OSRRefH22_6x_0)</f>
        <v>13773</v>
      </c>
      <c r="I63" s="1"/>
      <c r="J63" s="5">
        <f t="shared" ref="J63:J85" si="38">IF(H$12=0,0,H63/H$12)</f>
        <v>2.6657350561675969E-2</v>
      </c>
      <c r="K63" s="1"/>
      <c r="L63" s="1">
        <f t="shared" ref="L63:L85" si="39">+D63-H63</f>
        <v>-6447.12</v>
      </c>
      <c r="M63" s="1"/>
      <c r="N63" s="5">
        <f t="shared" ref="N63:N85" si="40">IF(H63=0,0,L63/H63)</f>
        <v>-0.46809845349597035</v>
      </c>
      <c r="O63" s="13"/>
      <c r="P63" s="1">
        <f>SUM(OSRRefP22_6x_0)</f>
        <v>58305.64</v>
      </c>
      <c r="Q63" s="1"/>
      <c r="R63" s="5">
        <f t="shared" ref="R63:R85" si="41">IF(P$12=0,0,P63/P$12)</f>
        <v>4.1707176118540676E-2</v>
      </c>
      <c r="S63" s="1"/>
      <c r="T63" s="1">
        <f>SUM(OSRRefT22_6x_0)</f>
        <v>119957</v>
      </c>
      <c r="U63" s="1"/>
      <c r="V63" s="5">
        <f t="shared" ref="V63:V85" si="42">IF(T$12=0,0,T63/T$12)</f>
        <v>3.1097639854089417E-2</v>
      </c>
      <c r="W63" s="1"/>
      <c r="X63" s="1">
        <f t="shared" ref="X63:X85" si="43">+P63-T63</f>
        <v>-61651.360000000001</v>
      </c>
      <c r="Y63" s="1"/>
      <c r="Z63" s="5">
        <f t="shared" ref="Z63:Z85" si="44">IF(T63=0,0,X63/T63)</f>
        <v>-0.51394549713647386</v>
      </c>
    </row>
    <row r="64" spans="1:26" s="24" customFormat="1" hidden="1" outlineLevel="2" x14ac:dyDescent="0.25">
      <c r="A64" s="26"/>
      <c r="B64" s="11" t="str">
        <f>CONCATENATE("          ", "6399", " - ", "DONATION-ON CAMPUS")</f>
        <v xml:space="preserve">          6399 - DONATION-ON CAMPUS</v>
      </c>
      <c r="C64" s="11"/>
      <c r="D64" s="7">
        <v>7325.88</v>
      </c>
      <c r="E64" s="2"/>
      <c r="F64" s="6">
        <f t="shared" si="37"/>
        <v>4.487434243249136E-2</v>
      </c>
      <c r="G64" s="2"/>
      <c r="H64" s="7">
        <v>13773</v>
      </c>
      <c r="I64" s="2"/>
      <c r="J64" s="6">
        <f t="shared" si="38"/>
        <v>2.6657350561675969E-2</v>
      </c>
      <c r="K64" s="2"/>
      <c r="L64" s="7">
        <f t="shared" si="39"/>
        <v>-6447.12</v>
      </c>
      <c r="M64" s="2"/>
      <c r="N64" s="6">
        <f t="shared" si="40"/>
        <v>-0.46809845349597035</v>
      </c>
      <c r="O64" s="11"/>
      <c r="P64" s="7">
        <v>58305.64</v>
      </c>
      <c r="Q64" s="2"/>
      <c r="R64" s="6">
        <f t="shared" si="41"/>
        <v>4.1707176118540676E-2</v>
      </c>
      <c r="S64" s="2"/>
      <c r="T64" s="7">
        <v>119957</v>
      </c>
      <c r="U64" s="2"/>
      <c r="V64" s="6">
        <f t="shared" si="42"/>
        <v>3.1097639854089417E-2</v>
      </c>
      <c r="W64" s="2"/>
      <c r="X64" s="7">
        <f t="shared" si="43"/>
        <v>-61651.360000000001</v>
      </c>
      <c r="Y64" s="2"/>
      <c r="Z64" s="6">
        <f t="shared" si="44"/>
        <v>-0.51394549713647386</v>
      </c>
    </row>
    <row r="65" spans="1:26" s="25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0</v>
      </c>
      <c r="E65" s="1"/>
      <c r="F65" s="5">
        <f t="shared" si="37"/>
        <v>0</v>
      </c>
      <c r="G65" s="1"/>
      <c r="H65" s="1">
        <f>SUM(OSRRefH22_7x_0)</f>
        <v>300</v>
      </c>
      <c r="I65" s="1"/>
      <c r="J65" s="5">
        <f t="shared" si="38"/>
        <v>5.8064366285506363E-4</v>
      </c>
      <c r="K65" s="1"/>
      <c r="L65" s="1">
        <f t="shared" si="39"/>
        <v>-300</v>
      </c>
      <c r="M65" s="1"/>
      <c r="N65" s="5">
        <f t="shared" si="40"/>
        <v>-1</v>
      </c>
      <c r="O65" s="13"/>
      <c r="P65" s="1">
        <f>SUM(OSRRefP22_7x_0)</f>
        <v>10</v>
      </c>
      <c r="Q65" s="1"/>
      <c r="R65" s="5">
        <f t="shared" si="41"/>
        <v>7.1531975497637407E-6</v>
      </c>
      <c r="S65" s="1"/>
      <c r="T65" s="1">
        <f>SUM(OSRRefT22_7x_0)</f>
        <v>2900</v>
      </c>
      <c r="U65" s="1"/>
      <c r="V65" s="5">
        <f t="shared" si="42"/>
        <v>7.5179568992938563E-4</v>
      </c>
      <c r="W65" s="1"/>
      <c r="X65" s="1">
        <f t="shared" si="43"/>
        <v>-2890</v>
      </c>
      <c r="Y65" s="1"/>
      <c r="Z65" s="5">
        <f t="shared" si="44"/>
        <v>-0.99655172413793103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7"/>
      <c r="E66" s="2"/>
      <c r="F66" s="6">
        <f t="shared" si="37"/>
        <v>0</v>
      </c>
      <c r="G66" s="2"/>
      <c r="H66" s="7">
        <v>300</v>
      </c>
      <c r="I66" s="2"/>
      <c r="J66" s="6">
        <f t="shared" si="38"/>
        <v>5.8064366285506363E-4</v>
      </c>
      <c r="K66" s="2"/>
      <c r="L66" s="7">
        <f t="shared" si="39"/>
        <v>-300</v>
      </c>
      <c r="M66" s="2"/>
      <c r="N66" s="6">
        <f t="shared" si="40"/>
        <v>-1</v>
      </c>
      <c r="O66" s="11"/>
      <c r="P66" s="7">
        <v>10</v>
      </c>
      <c r="Q66" s="2"/>
      <c r="R66" s="6">
        <f t="shared" si="41"/>
        <v>7.1531975497637407E-6</v>
      </c>
      <c r="S66" s="2"/>
      <c r="T66" s="7">
        <v>2900</v>
      </c>
      <c r="U66" s="2"/>
      <c r="V66" s="6">
        <f t="shared" si="42"/>
        <v>7.5179568992938563E-4</v>
      </c>
      <c r="W66" s="2"/>
      <c r="X66" s="7">
        <f t="shared" si="43"/>
        <v>-2890</v>
      </c>
      <c r="Y66" s="2"/>
      <c r="Z66" s="6">
        <f t="shared" si="44"/>
        <v>-0.99655172413793103</v>
      </c>
    </row>
    <row r="67" spans="1:26" s="25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1490.85</v>
      </c>
      <c r="E67" s="1"/>
      <c r="F67" s="5">
        <f t="shared" si="37"/>
        <v>9.1321333976914359E-3</v>
      </c>
      <c r="G67" s="1"/>
      <c r="H67" s="1">
        <f>SUM(OSRRefH22_8x_0)</f>
        <v>1044.3333333333301</v>
      </c>
      <c r="I67" s="1"/>
      <c r="J67" s="5">
        <f t="shared" si="38"/>
        <v>2.0212851063610097E-3</v>
      </c>
      <c r="K67" s="1"/>
      <c r="L67" s="1">
        <f t="shared" si="39"/>
        <v>446.51666666666983</v>
      </c>
      <c r="M67" s="1"/>
      <c r="N67" s="5">
        <f t="shared" si="40"/>
        <v>0.42756144270667529</v>
      </c>
      <c r="O67" s="13"/>
      <c r="P67" s="1">
        <f>SUM(OSRRefP22_8x_0)</f>
        <v>10929</v>
      </c>
      <c r="Q67" s="1"/>
      <c r="R67" s="5">
        <f t="shared" si="41"/>
        <v>7.8177296021367925E-3</v>
      </c>
      <c r="S67" s="1"/>
      <c r="T67" s="1">
        <f>SUM(OSRRefT22_8x_0)</f>
        <v>10187.333333333299</v>
      </c>
      <c r="U67" s="1"/>
      <c r="V67" s="5">
        <f t="shared" si="42"/>
        <v>2.6409632040944606E-3</v>
      </c>
      <c r="W67" s="1"/>
      <c r="X67" s="1">
        <f t="shared" si="43"/>
        <v>741.66666666670062</v>
      </c>
      <c r="Y67" s="1"/>
      <c r="Z67" s="5">
        <f t="shared" si="44"/>
        <v>7.2802827040118756E-2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7">
        <v>1490.85</v>
      </c>
      <c r="E68" s="2"/>
      <c r="F68" s="6">
        <f t="shared" si="37"/>
        <v>9.1321333976914359E-3</v>
      </c>
      <c r="G68" s="2"/>
      <c r="H68" s="7">
        <v>1044.3333333333301</v>
      </c>
      <c r="I68" s="2"/>
      <c r="J68" s="6">
        <f t="shared" si="38"/>
        <v>2.0212851063610097E-3</v>
      </c>
      <c r="K68" s="2"/>
      <c r="L68" s="7">
        <f t="shared" si="39"/>
        <v>446.51666666666983</v>
      </c>
      <c r="M68" s="2"/>
      <c r="N68" s="6">
        <f t="shared" si="40"/>
        <v>0.42756144270667529</v>
      </c>
      <c r="O68" s="11"/>
      <c r="P68" s="7">
        <v>10929</v>
      </c>
      <c r="Q68" s="2"/>
      <c r="R68" s="6">
        <f t="shared" si="41"/>
        <v>7.8177296021367925E-3</v>
      </c>
      <c r="S68" s="2"/>
      <c r="T68" s="7">
        <v>10187.333333333299</v>
      </c>
      <c r="U68" s="2"/>
      <c r="V68" s="6">
        <f t="shared" si="42"/>
        <v>2.6409632040944606E-3</v>
      </c>
      <c r="W68" s="2"/>
      <c r="X68" s="7">
        <f t="shared" si="43"/>
        <v>741.66666666670062</v>
      </c>
      <c r="Y68" s="2"/>
      <c r="Z68" s="6">
        <f t="shared" si="44"/>
        <v>7.2802827040118756E-2</v>
      </c>
    </row>
    <row r="69" spans="1:26" s="25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2.96</v>
      </c>
      <c r="E69" s="1"/>
      <c r="F69" s="5">
        <f t="shared" si="37"/>
        <v>1.8131344439190162E-5</v>
      </c>
      <c r="G69" s="1"/>
      <c r="H69" s="1">
        <f>SUM(OSRRefH22_9x_0)</f>
        <v>0</v>
      </c>
      <c r="I69" s="1"/>
      <c r="J69" s="5">
        <f t="shared" si="38"/>
        <v>0</v>
      </c>
      <c r="K69" s="1"/>
      <c r="L69" s="1">
        <f t="shared" si="39"/>
        <v>2.96</v>
      </c>
      <c r="M69" s="1"/>
      <c r="N69" s="5">
        <f t="shared" si="40"/>
        <v>0</v>
      </c>
      <c r="O69" s="13"/>
      <c r="P69" s="1">
        <f>SUM(OSRRefP22_9x_0)</f>
        <v>-2.4500000000000002</v>
      </c>
      <c r="Q69" s="1"/>
      <c r="R69" s="5">
        <f t="shared" si="41"/>
        <v>-1.7525333996921166E-6</v>
      </c>
      <c r="S69" s="1"/>
      <c r="T69" s="1">
        <f>SUM(OSRRefT22_9x_0)</f>
        <v>0</v>
      </c>
      <c r="U69" s="1"/>
      <c r="V69" s="5">
        <f t="shared" si="42"/>
        <v>0</v>
      </c>
      <c r="W69" s="1"/>
      <c r="X69" s="1">
        <f t="shared" si="43"/>
        <v>-2.4500000000000002</v>
      </c>
      <c r="Y69" s="1"/>
      <c r="Z69" s="5">
        <f t="shared" si="44"/>
        <v>0</v>
      </c>
    </row>
    <row r="70" spans="1:26" s="24" customFormat="1" hidden="1" outlineLevel="2" x14ac:dyDescent="0.25">
      <c r="A70" s="26"/>
      <c r="B70" s="11" t="str">
        <f>CONCATENATE("          ", "6307", " - ", "POSTAGE")</f>
        <v xml:space="preserve">          6307 - POSTAGE</v>
      </c>
      <c r="C70" s="11"/>
      <c r="D70" s="7">
        <v>2.96</v>
      </c>
      <c r="E70" s="2"/>
      <c r="F70" s="6">
        <f t="shared" si="37"/>
        <v>1.8131344439190162E-5</v>
      </c>
      <c r="G70" s="2"/>
      <c r="H70" s="7"/>
      <c r="I70" s="2"/>
      <c r="J70" s="6">
        <f t="shared" si="38"/>
        <v>0</v>
      </c>
      <c r="K70" s="2"/>
      <c r="L70" s="7">
        <f t="shared" si="39"/>
        <v>2.96</v>
      </c>
      <c r="M70" s="2"/>
      <c r="N70" s="6">
        <f t="shared" si="40"/>
        <v>0</v>
      </c>
      <c r="O70" s="11"/>
      <c r="P70" s="7">
        <v>-2.4500000000000002</v>
      </c>
      <c r="Q70" s="2"/>
      <c r="R70" s="6">
        <f t="shared" si="41"/>
        <v>-1.7525333996921166E-6</v>
      </c>
      <c r="S70" s="2"/>
      <c r="T70" s="7"/>
      <c r="U70" s="2"/>
      <c r="V70" s="6">
        <f t="shared" si="42"/>
        <v>0</v>
      </c>
      <c r="W70" s="2"/>
      <c r="X70" s="7">
        <f t="shared" si="43"/>
        <v>-2.4500000000000002</v>
      </c>
      <c r="Y70" s="2"/>
      <c r="Z70" s="6">
        <f t="shared" si="44"/>
        <v>0</v>
      </c>
    </row>
    <row r="71" spans="1:26" s="25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224</v>
      </c>
      <c r="E71" s="1"/>
      <c r="F71" s="5">
        <f t="shared" si="37"/>
        <v>1.3721017413441203E-3</v>
      </c>
      <c r="G71" s="1"/>
      <c r="H71" s="1">
        <f>SUM(OSRRefH22_10x_0)</f>
        <v>430</v>
      </c>
      <c r="I71" s="1"/>
      <c r="J71" s="5">
        <f t="shared" si="38"/>
        <v>8.3225591675892448E-4</v>
      </c>
      <c r="K71" s="1"/>
      <c r="L71" s="1">
        <f t="shared" si="39"/>
        <v>-206</v>
      </c>
      <c r="M71" s="1"/>
      <c r="N71" s="5">
        <f t="shared" si="40"/>
        <v>-0.47906976744186047</v>
      </c>
      <c r="O71" s="13"/>
      <c r="P71" s="1">
        <f>SUM(OSRRefP22_10x_0)</f>
        <v>15244.23</v>
      </c>
      <c r="Q71" s="1"/>
      <c r="R71" s="5">
        <f t="shared" si="41"/>
        <v>1.090449886840349E-2</v>
      </c>
      <c r="S71" s="1"/>
      <c r="T71" s="1">
        <f>SUM(OSRRefT22_10x_0)</f>
        <v>15330</v>
      </c>
      <c r="U71" s="1"/>
      <c r="V71" s="5">
        <f t="shared" si="42"/>
        <v>3.9741475609025804E-3</v>
      </c>
      <c r="W71" s="1"/>
      <c r="X71" s="1">
        <f t="shared" si="43"/>
        <v>-85.770000000000437</v>
      </c>
      <c r="Y71" s="1"/>
      <c r="Z71" s="5">
        <f t="shared" si="44"/>
        <v>-5.594911937377719E-3</v>
      </c>
    </row>
    <row r="72" spans="1:26" s="24" customFormat="1" hidden="1" outlineLevel="2" x14ac:dyDescent="0.25">
      <c r="A72" s="26"/>
      <c r="B72" s="11" t="str">
        <f>CONCATENATE("          ", "6279", " - ", "GENERAL EXPENSE")</f>
        <v xml:space="preserve">          6279 - GENERAL EXPENSE</v>
      </c>
      <c r="C72" s="11"/>
      <c r="D72" s="7">
        <v>224</v>
      </c>
      <c r="E72" s="2"/>
      <c r="F72" s="6">
        <f t="shared" si="37"/>
        <v>1.3721017413441203E-3</v>
      </c>
      <c r="G72" s="2"/>
      <c r="H72" s="7">
        <v>430</v>
      </c>
      <c r="I72" s="2"/>
      <c r="J72" s="6">
        <f t="shared" si="38"/>
        <v>8.3225591675892448E-4</v>
      </c>
      <c r="K72" s="2"/>
      <c r="L72" s="7">
        <f t="shared" si="39"/>
        <v>-206</v>
      </c>
      <c r="M72" s="2"/>
      <c r="N72" s="6">
        <f t="shared" si="40"/>
        <v>-0.47906976744186047</v>
      </c>
      <c r="O72" s="11"/>
      <c r="P72" s="7">
        <v>15244.23</v>
      </c>
      <c r="Q72" s="2"/>
      <c r="R72" s="6">
        <f t="shared" si="41"/>
        <v>1.090449886840349E-2</v>
      </c>
      <c r="S72" s="2"/>
      <c r="T72" s="7">
        <v>15330</v>
      </c>
      <c r="U72" s="2"/>
      <c r="V72" s="6">
        <f t="shared" si="42"/>
        <v>3.9741475609025804E-3</v>
      </c>
      <c r="W72" s="2"/>
      <c r="X72" s="7">
        <f t="shared" si="43"/>
        <v>-85.770000000000437</v>
      </c>
      <c r="Y72" s="2"/>
      <c r="Z72" s="6">
        <f t="shared" si="44"/>
        <v>-5.594911937377719E-3</v>
      </c>
    </row>
    <row r="73" spans="1:26" s="25" customFormat="1" outlineLevel="1" collapsed="1" x14ac:dyDescent="0.25">
      <c r="A73" s="27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4246.03</v>
      </c>
      <c r="E73" s="1"/>
      <c r="F73" s="5">
        <f t="shared" si="37"/>
        <v>2.6008862307140067E-2</v>
      </c>
      <c r="G73" s="1"/>
      <c r="H73" s="1">
        <f>SUM(OSRRefH22_11x_0)</f>
        <v>4572</v>
      </c>
      <c r="I73" s="1"/>
      <c r="J73" s="5">
        <f t="shared" si="38"/>
        <v>8.8490094219111689E-3</v>
      </c>
      <c r="K73" s="1"/>
      <c r="L73" s="1">
        <f t="shared" si="39"/>
        <v>-325.97000000000025</v>
      </c>
      <c r="M73" s="1"/>
      <c r="N73" s="5">
        <f t="shared" si="40"/>
        <v>-7.1297025371828582E-2</v>
      </c>
      <c r="O73" s="13"/>
      <c r="P73" s="1">
        <f>SUM(OSRRefP22_11x_0)</f>
        <v>48572.3</v>
      </c>
      <c r="Q73" s="1"/>
      <c r="R73" s="5">
        <f t="shared" si="41"/>
        <v>3.4744725734638937E-2</v>
      </c>
      <c r="S73" s="1"/>
      <c r="T73" s="1">
        <f>SUM(OSRRefT22_11x_0)</f>
        <v>45720</v>
      </c>
      <c r="U73" s="1"/>
      <c r="V73" s="5">
        <f t="shared" si="42"/>
        <v>1.1852447911576384E-2</v>
      </c>
      <c r="W73" s="1"/>
      <c r="X73" s="1">
        <f t="shared" si="43"/>
        <v>2852.3000000000029</v>
      </c>
      <c r="Y73" s="1"/>
      <c r="Z73" s="5">
        <f t="shared" si="44"/>
        <v>6.2386264216972943E-2</v>
      </c>
    </row>
    <row r="74" spans="1:26" s="24" customFormat="1" hidden="1" outlineLevel="2" x14ac:dyDescent="0.25">
      <c r="A74" s="26"/>
      <c r="B74" s="11" t="str">
        <f>CONCATENATE("          ", "6314", " - ", "LIABILITY INSURANCE")</f>
        <v xml:space="preserve">          6314 - LIABILITY INSURANCE</v>
      </c>
      <c r="C74" s="11"/>
      <c r="D74" s="7">
        <v>4246.03</v>
      </c>
      <c r="E74" s="2"/>
      <c r="F74" s="6">
        <f t="shared" si="37"/>
        <v>2.6008862307140067E-2</v>
      </c>
      <c r="G74" s="2"/>
      <c r="H74" s="7">
        <v>4572</v>
      </c>
      <c r="I74" s="2"/>
      <c r="J74" s="6">
        <f t="shared" si="38"/>
        <v>8.8490094219111689E-3</v>
      </c>
      <c r="K74" s="2"/>
      <c r="L74" s="7">
        <f t="shared" si="39"/>
        <v>-325.97000000000025</v>
      </c>
      <c r="M74" s="2"/>
      <c r="N74" s="6">
        <f t="shared" si="40"/>
        <v>-7.1297025371828582E-2</v>
      </c>
      <c r="O74" s="11"/>
      <c r="P74" s="7">
        <v>48572.3</v>
      </c>
      <c r="Q74" s="2"/>
      <c r="R74" s="6">
        <f t="shared" si="41"/>
        <v>3.4744725734638937E-2</v>
      </c>
      <c r="S74" s="2"/>
      <c r="T74" s="7">
        <v>45720</v>
      </c>
      <c r="U74" s="2"/>
      <c r="V74" s="6">
        <f t="shared" si="42"/>
        <v>1.1852447911576384E-2</v>
      </c>
      <c r="W74" s="2"/>
      <c r="X74" s="7">
        <f t="shared" si="43"/>
        <v>2852.3000000000029</v>
      </c>
      <c r="Y74" s="2"/>
      <c r="Z74" s="6">
        <f t="shared" si="44"/>
        <v>6.2386264216972943E-2</v>
      </c>
    </row>
    <row r="75" spans="1:26" s="25" customFormat="1" outlineLevel="1" collapsed="1" x14ac:dyDescent="0.25">
      <c r="A75" s="27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5967</v>
      </c>
      <c r="E75" s="1"/>
      <c r="F75" s="5">
        <f t="shared" si="37"/>
        <v>3.6550585225894494E-2</v>
      </c>
      <c r="G75" s="1"/>
      <c r="H75" s="1">
        <f>SUM(OSRRefH22_12x_0)</f>
        <v>7510</v>
      </c>
      <c r="I75" s="1"/>
      <c r="J75" s="5">
        <f t="shared" si="38"/>
        <v>1.4535446360138425E-2</v>
      </c>
      <c r="K75" s="1"/>
      <c r="L75" s="1">
        <f t="shared" si="39"/>
        <v>-1543</v>
      </c>
      <c r="M75" s="1"/>
      <c r="N75" s="5">
        <f t="shared" si="40"/>
        <v>-0.20545938748335552</v>
      </c>
      <c r="O75" s="13"/>
      <c r="P75" s="1">
        <f>SUM(OSRRefP22_12x_0)</f>
        <v>73070.149999999994</v>
      </c>
      <c r="Q75" s="1"/>
      <c r="R75" s="5">
        <f t="shared" si="41"/>
        <v>5.2268521794086892E-2</v>
      </c>
      <c r="S75" s="1"/>
      <c r="T75" s="1">
        <f>SUM(OSRRefT22_12x_0)</f>
        <v>75100</v>
      </c>
      <c r="U75" s="1"/>
      <c r="V75" s="5">
        <f t="shared" si="42"/>
        <v>1.9468915970240298E-2</v>
      </c>
      <c r="W75" s="1"/>
      <c r="X75" s="1">
        <f t="shared" si="43"/>
        <v>-2029.8500000000058</v>
      </c>
      <c r="Y75" s="1"/>
      <c r="Z75" s="5">
        <f t="shared" si="44"/>
        <v>-2.7028628495339626E-2</v>
      </c>
    </row>
    <row r="76" spans="1:26" s="24" customFormat="1" hidden="1" outlineLevel="2" x14ac:dyDescent="0.25">
      <c r="A76" s="26"/>
      <c r="B76" s="11" t="str">
        <f>CONCATENATE("          ", "6401", " - ", "INTEREST EXPENSE")</f>
        <v xml:space="preserve">          6401 - INTEREST EXPENSE</v>
      </c>
      <c r="C76" s="11"/>
      <c r="D76" s="7">
        <v>5967</v>
      </c>
      <c r="E76" s="2"/>
      <c r="F76" s="6">
        <f t="shared" si="37"/>
        <v>3.6550585225894494E-2</v>
      </c>
      <c r="G76" s="2"/>
      <c r="H76" s="7">
        <v>7510</v>
      </c>
      <c r="I76" s="2"/>
      <c r="J76" s="6">
        <f t="shared" si="38"/>
        <v>1.4535446360138425E-2</v>
      </c>
      <c r="K76" s="2"/>
      <c r="L76" s="7">
        <f t="shared" si="39"/>
        <v>-1543</v>
      </c>
      <c r="M76" s="2"/>
      <c r="N76" s="6">
        <f t="shared" si="40"/>
        <v>-0.20545938748335552</v>
      </c>
      <c r="O76" s="11"/>
      <c r="P76" s="7">
        <v>73070.149999999994</v>
      </c>
      <c r="Q76" s="2"/>
      <c r="R76" s="6">
        <f t="shared" si="41"/>
        <v>5.2268521794086892E-2</v>
      </c>
      <c r="S76" s="2"/>
      <c r="T76" s="7">
        <v>75100</v>
      </c>
      <c r="U76" s="2"/>
      <c r="V76" s="6">
        <f t="shared" si="42"/>
        <v>1.9468915970240298E-2</v>
      </c>
      <c r="W76" s="2"/>
      <c r="X76" s="7">
        <f t="shared" si="43"/>
        <v>-2029.8500000000058</v>
      </c>
      <c r="Y76" s="2"/>
      <c r="Z76" s="6">
        <f t="shared" si="44"/>
        <v>-2.7028628495339626E-2</v>
      </c>
    </row>
    <row r="77" spans="1:26" s="25" customFormat="1" outlineLevel="1" collapsed="1" x14ac:dyDescent="0.25">
      <c r="A77" s="27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6627.19</v>
      </c>
      <c r="E77" s="1"/>
      <c r="F77" s="5">
        <f t="shared" si="37"/>
        <v>4.0594548835796163E-2</v>
      </c>
      <c r="G77" s="1"/>
      <c r="H77" s="1">
        <f>SUM(OSRRefH22_13x_0)</f>
        <v>40097</v>
      </c>
      <c r="I77" s="1"/>
      <c r="J77" s="5">
        <f t="shared" si="38"/>
        <v>7.7606896498331621E-2</v>
      </c>
      <c r="K77" s="1"/>
      <c r="L77" s="1">
        <f t="shared" si="39"/>
        <v>-33469.81</v>
      </c>
      <c r="M77" s="1"/>
      <c r="N77" s="5">
        <f t="shared" si="40"/>
        <v>-0.83472105145023312</v>
      </c>
      <c r="O77" s="13"/>
      <c r="P77" s="1">
        <f>SUM(OSRRefP22_13x_0)</f>
        <v>65639.789999999994</v>
      </c>
      <c r="Q77" s="1"/>
      <c r="R77" s="5">
        <f t="shared" si="41"/>
        <v>4.6953438499500642E-2</v>
      </c>
      <c r="S77" s="1"/>
      <c r="T77" s="1">
        <f>SUM(OSRRefT22_13x_0)</f>
        <v>294096</v>
      </c>
      <c r="U77" s="1"/>
      <c r="V77" s="5">
        <f t="shared" si="42"/>
        <v>7.624141559499055E-2</v>
      </c>
      <c r="W77" s="1"/>
      <c r="X77" s="1">
        <f t="shared" si="43"/>
        <v>-228456.21000000002</v>
      </c>
      <c r="Y77" s="1"/>
      <c r="Z77" s="5">
        <f t="shared" si="44"/>
        <v>-0.77680828708992988</v>
      </c>
    </row>
    <row r="78" spans="1:26" s="24" customFormat="1" hidden="1" outlineLevel="2" x14ac:dyDescent="0.25">
      <c r="A78" s="26"/>
      <c r="B78" s="11" t="str">
        <f>CONCATENATE("          ", "6387", " - ", "COMMISSION DUE HOUSING")</f>
        <v xml:space="preserve">          6387 - COMMISSION DUE HOUSING</v>
      </c>
      <c r="C78" s="11"/>
      <c r="D78" s="7">
        <v>6627.19</v>
      </c>
      <c r="E78" s="2"/>
      <c r="F78" s="6">
        <f t="shared" si="37"/>
        <v>4.0594548835796163E-2</v>
      </c>
      <c r="G78" s="2"/>
      <c r="H78" s="7">
        <v>40097</v>
      </c>
      <c r="I78" s="2"/>
      <c r="J78" s="6">
        <f t="shared" si="38"/>
        <v>7.7606896498331621E-2</v>
      </c>
      <c r="K78" s="2"/>
      <c r="L78" s="7">
        <f t="shared" si="39"/>
        <v>-33469.81</v>
      </c>
      <c r="M78" s="2"/>
      <c r="N78" s="6">
        <f t="shared" si="40"/>
        <v>-0.83472105145023312</v>
      </c>
      <c r="O78" s="11"/>
      <c r="P78" s="7">
        <v>65639.789999999994</v>
      </c>
      <c r="Q78" s="2"/>
      <c r="R78" s="6">
        <f t="shared" si="41"/>
        <v>4.6953438499500642E-2</v>
      </c>
      <c r="S78" s="2"/>
      <c r="T78" s="7">
        <v>294096</v>
      </c>
      <c r="U78" s="2"/>
      <c r="V78" s="6">
        <f t="shared" si="42"/>
        <v>7.624141559499055E-2</v>
      </c>
      <c r="W78" s="2"/>
      <c r="X78" s="7">
        <f t="shared" si="43"/>
        <v>-228456.21000000002</v>
      </c>
      <c r="Y78" s="2"/>
      <c r="Z78" s="6">
        <f t="shared" si="44"/>
        <v>-0.77680828708992988</v>
      </c>
    </row>
    <row r="79" spans="1:26" s="25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1850</v>
      </c>
      <c r="E79" s="1"/>
      <c r="F79" s="5">
        <f t="shared" si="37"/>
        <v>1.1332090274493851E-2</v>
      </c>
      <c r="G79" s="1"/>
      <c r="H79" s="1">
        <f>SUM(OSRRefH22_14x_0)</f>
        <v>1943</v>
      </c>
      <c r="I79" s="1"/>
      <c r="J79" s="5">
        <f t="shared" si="38"/>
        <v>3.7606354564246286E-3</v>
      </c>
      <c r="K79" s="1"/>
      <c r="L79" s="1">
        <f t="shared" si="39"/>
        <v>-93</v>
      </c>
      <c r="M79" s="1"/>
      <c r="N79" s="5">
        <f t="shared" si="40"/>
        <v>-4.7864127637673698E-2</v>
      </c>
      <c r="O79" s="13"/>
      <c r="P79" s="1">
        <f>SUM(OSRRefP22_14x_0)</f>
        <v>12950</v>
      </c>
      <c r="Q79" s="1"/>
      <c r="R79" s="5">
        <f t="shared" si="41"/>
        <v>9.2633908269440443E-3</v>
      </c>
      <c r="S79" s="1"/>
      <c r="T79" s="1">
        <f>SUM(OSRRefT22_14x_0)</f>
        <v>19430</v>
      </c>
      <c r="U79" s="1"/>
      <c r="V79" s="5">
        <f t="shared" si="42"/>
        <v>5.0370311225268836E-3</v>
      </c>
      <c r="W79" s="1"/>
      <c r="X79" s="1">
        <f t="shared" si="43"/>
        <v>-6480</v>
      </c>
      <c r="Y79" s="1"/>
      <c r="Z79" s="5">
        <f t="shared" si="44"/>
        <v>-0.33350488934637157</v>
      </c>
    </row>
    <row r="80" spans="1:26" s="24" customFormat="1" hidden="1" outlineLevel="2" x14ac:dyDescent="0.25">
      <c r="A80" s="26"/>
      <c r="B80" s="11" t="str">
        <f>CONCATENATE("          ", "6273", " - ", "RENT")</f>
        <v xml:space="preserve">          6273 - RENT</v>
      </c>
      <c r="C80" s="11"/>
      <c r="D80" s="7">
        <v>1850</v>
      </c>
      <c r="E80" s="2"/>
      <c r="F80" s="6">
        <f t="shared" si="37"/>
        <v>1.1332090274493851E-2</v>
      </c>
      <c r="G80" s="2"/>
      <c r="H80" s="7">
        <v>1943</v>
      </c>
      <c r="I80" s="2"/>
      <c r="J80" s="6">
        <f t="shared" si="38"/>
        <v>3.7606354564246286E-3</v>
      </c>
      <c r="K80" s="2"/>
      <c r="L80" s="7">
        <f t="shared" si="39"/>
        <v>-93</v>
      </c>
      <c r="M80" s="2"/>
      <c r="N80" s="6">
        <f t="shared" si="40"/>
        <v>-4.7864127637673698E-2</v>
      </c>
      <c r="O80" s="11"/>
      <c r="P80" s="7">
        <v>12950</v>
      </c>
      <c r="Q80" s="2"/>
      <c r="R80" s="6">
        <f t="shared" si="41"/>
        <v>9.2633908269440443E-3</v>
      </c>
      <c r="S80" s="2"/>
      <c r="T80" s="7">
        <v>19430</v>
      </c>
      <c r="U80" s="2"/>
      <c r="V80" s="6">
        <f t="shared" si="42"/>
        <v>5.0370311225268836E-3</v>
      </c>
      <c r="W80" s="2"/>
      <c r="X80" s="7">
        <f t="shared" si="43"/>
        <v>-6480</v>
      </c>
      <c r="Y80" s="2"/>
      <c r="Z80" s="6">
        <f t="shared" si="44"/>
        <v>-0.33350488934637157</v>
      </c>
    </row>
    <row r="81" spans="1:26" s="25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5613.52</v>
      </c>
      <c r="E81" s="1"/>
      <c r="F81" s="5">
        <f t="shared" si="37"/>
        <v>3.4385359674419851E-2</v>
      </c>
      <c r="G81" s="1"/>
      <c r="H81" s="1">
        <f>SUM(OSRRefH22_15x_0)</f>
        <v>1508</v>
      </c>
      <c r="I81" s="1"/>
      <c r="J81" s="5">
        <f t="shared" si="38"/>
        <v>2.9187021452847864E-3</v>
      </c>
      <c r="K81" s="1"/>
      <c r="L81" s="1">
        <f t="shared" si="39"/>
        <v>4105.5200000000004</v>
      </c>
      <c r="M81" s="1"/>
      <c r="N81" s="5">
        <f t="shared" si="40"/>
        <v>2.7224933687002655</v>
      </c>
      <c r="O81" s="13"/>
      <c r="P81" s="1">
        <f>SUM(OSRRefP22_15x_0)</f>
        <v>66468.639999999999</v>
      </c>
      <c r="Q81" s="1"/>
      <c r="R81" s="5">
        <f t="shared" si="41"/>
        <v>4.7546331278412818E-2</v>
      </c>
      <c r="S81" s="1"/>
      <c r="T81" s="1">
        <f>SUM(OSRRefT22_15x_0)</f>
        <v>93371</v>
      </c>
      <c r="U81" s="1"/>
      <c r="V81" s="5">
        <f t="shared" si="42"/>
        <v>2.4205488056688505E-2</v>
      </c>
      <c r="W81" s="1"/>
      <c r="X81" s="1">
        <f t="shared" si="43"/>
        <v>-26902.36</v>
      </c>
      <c r="Y81" s="1"/>
      <c r="Z81" s="5">
        <f t="shared" si="44"/>
        <v>-0.28812329309957052</v>
      </c>
    </row>
    <row r="82" spans="1:26" s="24" customFormat="1" hidden="1" outlineLevel="2" x14ac:dyDescent="0.25">
      <c r="A82" s="26"/>
      <c r="B82" s="11" t="str">
        <f>CONCATENATE("          ", "6371", " - ", "COMPUTER SOFTWARE MAINTENANCE")</f>
        <v xml:space="preserve">          6371 - COMPUTER SOFTWARE MAINTENANCE</v>
      </c>
      <c r="C82" s="11"/>
      <c r="D82" s="7">
        <v>3500</v>
      </c>
      <c r="E82" s="2"/>
      <c r="F82" s="6">
        <f t="shared" si="37"/>
        <v>2.143908970850188E-2</v>
      </c>
      <c r="G82" s="2"/>
      <c r="H82" s="7"/>
      <c r="I82" s="2"/>
      <c r="J82" s="6">
        <f t="shared" si="38"/>
        <v>0</v>
      </c>
      <c r="K82" s="2"/>
      <c r="L82" s="7">
        <f t="shared" si="39"/>
        <v>3500</v>
      </c>
      <c r="M82" s="2"/>
      <c r="N82" s="6">
        <f t="shared" si="40"/>
        <v>0</v>
      </c>
      <c r="O82" s="11"/>
      <c r="P82" s="7">
        <v>18202.27</v>
      </c>
      <c r="Q82" s="2"/>
      <c r="R82" s="6">
        <f t="shared" si="41"/>
        <v>1.3020443316413804E-2</v>
      </c>
      <c r="S82" s="2"/>
      <c r="T82" s="7">
        <v>56745</v>
      </c>
      <c r="U82" s="2"/>
      <c r="V82" s="6">
        <f t="shared" si="42"/>
        <v>1.4710567732773445E-2</v>
      </c>
      <c r="W82" s="2"/>
      <c r="X82" s="7">
        <f t="shared" si="43"/>
        <v>-38542.729999999996</v>
      </c>
      <c r="Y82" s="2"/>
      <c r="Z82" s="6">
        <f t="shared" si="44"/>
        <v>-0.67922689223720145</v>
      </c>
    </row>
    <row r="83" spans="1:26" s="24" customFormat="1" hidden="1" outlineLevel="2" x14ac:dyDescent="0.25">
      <c r="A83" s="26"/>
      <c r="B83" s="11" t="str">
        <f>CONCATENATE("          ", "6372", " - ", "COMPUTER HARDWARE MAINTENANCE")</f>
        <v xml:space="preserve">          6372 - COMPUTER HARDWARE MAINTENANCE</v>
      </c>
      <c r="C83" s="11"/>
      <c r="D83" s="7"/>
      <c r="E83" s="2"/>
      <c r="F83" s="6">
        <f t="shared" si="37"/>
        <v>0</v>
      </c>
      <c r="G83" s="2"/>
      <c r="H83" s="7"/>
      <c r="I83" s="2"/>
      <c r="J83" s="6">
        <f t="shared" si="38"/>
        <v>0</v>
      </c>
      <c r="K83" s="2"/>
      <c r="L83" s="7">
        <f t="shared" si="39"/>
        <v>0</v>
      </c>
      <c r="M83" s="2"/>
      <c r="N83" s="6">
        <f t="shared" si="40"/>
        <v>0</v>
      </c>
      <c r="O83" s="11"/>
      <c r="P83" s="7">
        <v>100</v>
      </c>
      <c r="Q83" s="2"/>
      <c r="R83" s="6">
        <f t="shared" si="41"/>
        <v>7.153197549763741E-5</v>
      </c>
      <c r="S83" s="2"/>
      <c r="T83" s="7">
        <v>3083</v>
      </c>
      <c r="U83" s="2"/>
      <c r="V83" s="6">
        <f t="shared" si="42"/>
        <v>7.9923659036286064E-4</v>
      </c>
      <c r="W83" s="2"/>
      <c r="X83" s="7">
        <f t="shared" si="43"/>
        <v>-2983</v>
      </c>
      <c r="Y83" s="2"/>
      <c r="Z83" s="6">
        <f t="shared" si="44"/>
        <v>-0.96756406097956538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7">
        <v>12.34</v>
      </c>
      <c r="E84" s="2"/>
      <c r="F84" s="6">
        <f t="shared" si="37"/>
        <v>7.5588104857975203E-5</v>
      </c>
      <c r="G84" s="2"/>
      <c r="H84" s="7">
        <v>58</v>
      </c>
      <c r="I84" s="2"/>
      <c r="J84" s="6">
        <f t="shared" si="38"/>
        <v>1.1225777481864562E-4</v>
      </c>
      <c r="K84" s="2"/>
      <c r="L84" s="7">
        <f t="shared" si="39"/>
        <v>-45.66</v>
      </c>
      <c r="M84" s="2"/>
      <c r="N84" s="6">
        <f t="shared" si="40"/>
        <v>-0.78724137931034477</v>
      </c>
      <c r="O84" s="11"/>
      <c r="P84" s="7">
        <v>21463.21</v>
      </c>
      <c r="Q84" s="2"/>
      <c r="R84" s="6">
        <f t="shared" si="41"/>
        <v>1.5353058118206461E-2</v>
      </c>
      <c r="S84" s="2"/>
      <c r="T84" s="7">
        <v>9749</v>
      </c>
      <c r="U84" s="2"/>
      <c r="V84" s="6">
        <f t="shared" si="42"/>
        <v>2.5273297176281314E-3</v>
      </c>
      <c r="W84" s="2"/>
      <c r="X84" s="7">
        <f t="shared" si="43"/>
        <v>11714.21</v>
      </c>
      <c r="Y84" s="2"/>
      <c r="Z84" s="6">
        <f t="shared" si="44"/>
        <v>1.2015806749410196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2101.1799999999998</v>
      </c>
      <c r="E85" s="2"/>
      <c r="F85" s="6">
        <f t="shared" si="37"/>
        <v>1.2870681861059993E-2</v>
      </c>
      <c r="G85" s="2"/>
      <c r="H85" s="7">
        <v>1450</v>
      </c>
      <c r="I85" s="2"/>
      <c r="J85" s="6">
        <f t="shared" si="38"/>
        <v>2.8064443704661408E-3</v>
      </c>
      <c r="K85" s="2"/>
      <c r="L85" s="7">
        <f t="shared" si="39"/>
        <v>651.17999999999984</v>
      </c>
      <c r="M85" s="2"/>
      <c r="N85" s="6">
        <f t="shared" si="40"/>
        <v>0.44908965517241367</v>
      </c>
      <c r="O85" s="11"/>
      <c r="P85" s="7">
        <v>26703.16</v>
      </c>
      <c r="Q85" s="2"/>
      <c r="R85" s="6">
        <f t="shared" si="41"/>
        <v>1.9101297868294911E-2</v>
      </c>
      <c r="S85" s="2"/>
      <c r="T85" s="7">
        <v>23794</v>
      </c>
      <c r="U85" s="2"/>
      <c r="V85" s="6">
        <f t="shared" si="42"/>
        <v>6.1683540159240694E-3</v>
      </c>
      <c r="W85" s="2"/>
      <c r="X85" s="7">
        <f t="shared" si="43"/>
        <v>2909.16</v>
      </c>
      <c r="Y85" s="2"/>
      <c r="Z85" s="6">
        <f t="shared" si="44"/>
        <v>0.12226443641254096</v>
      </c>
    </row>
    <row r="86" spans="1:26" s="25" customFormat="1" outlineLevel="1" collapsed="1" x14ac:dyDescent="0.25">
      <c r="A86" s="27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0</v>
      </c>
      <c r="E86" s="1"/>
      <c r="F86" s="5">
        <f t="shared" ref="F86:F88" si="45">IF(D$12=0,0,D86/D$12)</f>
        <v>0</v>
      </c>
      <c r="G86" s="1"/>
      <c r="H86" s="1">
        <f>SUM(OSRRefH22_16x_0)</f>
        <v>0</v>
      </c>
      <c r="I86" s="1"/>
      <c r="J86" s="5">
        <f t="shared" ref="J86:J88" si="46">IF(H$12=0,0,H86/H$12)</f>
        <v>0</v>
      </c>
      <c r="K86" s="1"/>
      <c r="L86" s="1">
        <f t="shared" ref="L86:L88" si="47">+D86-H86</f>
        <v>0</v>
      </c>
      <c r="M86" s="1"/>
      <c r="N86" s="5">
        <f t="shared" ref="N86:N88" si="48">IF(H86=0,0,L86/H86)</f>
        <v>0</v>
      </c>
      <c r="O86" s="13"/>
      <c r="P86" s="1">
        <f>SUM(OSRRefP22_16x_0)</f>
        <v>0</v>
      </c>
      <c r="Q86" s="1"/>
      <c r="R86" s="5">
        <f t="shared" ref="R86:R88" si="49">IF(P$12=0,0,P86/P$12)</f>
        <v>0</v>
      </c>
      <c r="S86" s="1"/>
      <c r="T86" s="1">
        <f>SUM(OSRRefT22_16x_0)</f>
        <v>0</v>
      </c>
      <c r="U86" s="1"/>
      <c r="V86" s="5">
        <f t="shared" ref="V86:V88" si="50">IF(T$12=0,0,T86/T$12)</f>
        <v>0</v>
      </c>
      <c r="W86" s="1"/>
      <c r="X86" s="1">
        <f t="shared" ref="X86:X88" si="51">+P86-T86</f>
        <v>0</v>
      </c>
      <c r="Y86" s="1"/>
      <c r="Z86" s="5">
        <f t="shared" ref="Z86:Z88" si="52">IF(T86=0,0,X86/T86)</f>
        <v>0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45"/>
        <v>0</v>
      </c>
      <c r="G87" s="2"/>
      <c r="H87" s="7">
        <v>0</v>
      </c>
      <c r="I87" s="2"/>
      <c r="J87" s="6">
        <f t="shared" si="46"/>
        <v>0</v>
      </c>
      <c r="K87" s="2"/>
      <c r="L87" s="7">
        <f t="shared" si="47"/>
        <v>0</v>
      </c>
      <c r="M87" s="2"/>
      <c r="N87" s="6">
        <f t="shared" si="48"/>
        <v>0</v>
      </c>
      <c r="O87" s="11"/>
      <c r="P87" s="7"/>
      <c r="Q87" s="2"/>
      <c r="R87" s="6">
        <f t="shared" si="49"/>
        <v>0</v>
      </c>
      <c r="S87" s="2"/>
      <c r="T87" s="7">
        <v>0</v>
      </c>
      <c r="U87" s="2"/>
      <c r="V87" s="6">
        <f t="shared" si="50"/>
        <v>0</v>
      </c>
      <c r="W87" s="2"/>
      <c r="X87" s="7">
        <f t="shared" si="51"/>
        <v>0</v>
      </c>
      <c r="Y87" s="2"/>
      <c r="Z87" s="6">
        <f t="shared" si="52"/>
        <v>0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45"/>
        <v>0</v>
      </c>
      <c r="G88" s="2"/>
      <c r="H88" s="7">
        <v>0</v>
      </c>
      <c r="I88" s="2"/>
      <c r="J88" s="6">
        <f t="shared" si="46"/>
        <v>0</v>
      </c>
      <c r="K88" s="2"/>
      <c r="L88" s="7">
        <f t="shared" si="47"/>
        <v>0</v>
      </c>
      <c r="M88" s="2"/>
      <c r="N88" s="6">
        <f t="shared" si="48"/>
        <v>0</v>
      </c>
      <c r="O88" s="11"/>
      <c r="P88" s="7"/>
      <c r="Q88" s="2"/>
      <c r="R88" s="6">
        <f t="shared" si="49"/>
        <v>0</v>
      </c>
      <c r="S88" s="2"/>
      <c r="T88" s="7">
        <v>0</v>
      </c>
      <c r="U88" s="2"/>
      <c r="V88" s="6">
        <f t="shared" si="50"/>
        <v>0</v>
      </c>
      <c r="W88" s="2"/>
      <c r="X88" s="7">
        <f t="shared" si="51"/>
        <v>0</v>
      </c>
      <c r="Y88" s="2"/>
      <c r="Z88" s="6">
        <f t="shared" si="52"/>
        <v>0</v>
      </c>
    </row>
    <row r="89" spans="1:26" s="25" customFormat="1" outlineLevel="1" collapsed="1" x14ac:dyDescent="0.25">
      <c r="A89" s="27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23614.69</v>
      </c>
      <c r="E89" s="1"/>
      <c r="F89" s="5">
        <f t="shared" ref="F89:F94" si="53">IF(D$12=0,0,D89/D$12)</f>
        <v>0.14465070209956063</v>
      </c>
      <c r="G89" s="1"/>
      <c r="H89" s="1">
        <f>SUM(OSRRefH22_17x_0)</f>
        <v>26830</v>
      </c>
      <c r="I89" s="1"/>
      <c r="J89" s="5">
        <f t="shared" ref="J89:J94" si="54">IF(H$12=0,0,H89/H$12)</f>
        <v>5.1928898248004521E-2</v>
      </c>
      <c r="K89" s="1"/>
      <c r="L89" s="1">
        <f t="shared" ref="L89:L94" si="55">+D89-H89</f>
        <v>-3215.3100000000013</v>
      </c>
      <c r="M89" s="1"/>
      <c r="N89" s="5">
        <f t="shared" ref="N89:N94" si="56">IF(H89=0,0,L89/H89)</f>
        <v>-0.11984010436079021</v>
      </c>
      <c r="O89" s="13"/>
      <c r="P89" s="1">
        <f>SUM(OSRRefP22_17x_0)</f>
        <v>172266.55</v>
      </c>
      <c r="Q89" s="1"/>
      <c r="R89" s="5">
        <f t="shared" ref="R89:R94" si="57">IF(P$12=0,0,P89/P$12)</f>
        <v>0.12322566633662528</v>
      </c>
      <c r="S89" s="1"/>
      <c r="T89" s="1">
        <f>SUM(OSRRefT22_17x_0)</f>
        <v>266878</v>
      </c>
      <c r="U89" s="1"/>
      <c r="V89" s="5">
        <f t="shared" ref="V89:V94" si="58">IF(T$12=0,0,T89/T$12)</f>
        <v>6.9185424185163644E-2</v>
      </c>
      <c r="W89" s="1"/>
      <c r="X89" s="1">
        <f t="shared" ref="X89:X94" si="59">+P89-T89</f>
        <v>-94611.450000000012</v>
      </c>
      <c r="Y89" s="1"/>
      <c r="Z89" s="5">
        <f t="shared" ref="Z89:Z94" si="60">IF(T89=0,0,X89/T89)</f>
        <v>-0.35451198675050027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4056.96</v>
      </c>
      <c r="E90" s="2"/>
      <c r="F90" s="6">
        <f t="shared" si="53"/>
        <v>2.4850722681086797E-2</v>
      </c>
      <c r="G90" s="2"/>
      <c r="H90" s="7">
        <v>2376</v>
      </c>
      <c r="I90" s="2"/>
      <c r="J90" s="6">
        <f t="shared" si="54"/>
        <v>4.5986978098121033E-3</v>
      </c>
      <c r="K90" s="2"/>
      <c r="L90" s="7">
        <f t="shared" si="55"/>
        <v>1680.96</v>
      </c>
      <c r="M90" s="2"/>
      <c r="N90" s="6">
        <f t="shared" si="56"/>
        <v>0.70747474747474748</v>
      </c>
      <c r="O90" s="11"/>
      <c r="P90" s="7">
        <v>24556.98</v>
      </c>
      <c r="Q90" s="2"/>
      <c r="R90" s="6">
        <f t="shared" si="57"/>
        <v>1.7566092916559719E-2</v>
      </c>
      <c r="S90" s="2"/>
      <c r="T90" s="7">
        <v>27675</v>
      </c>
      <c r="U90" s="2"/>
      <c r="V90" s="6">
        <f t="shared" si="58"/>
        <v>7.1744640409640509E-3</v>
      </c>
      <c r="W90" s="2"/>
      <c r="X90" s="7">
        <f t="shared" si="59"/>
        <v>-3118.0200000000004</v>
      </c>
      <c r="Y90" s="2"/>
      <c r="Z90" s="6">
        <f t="shared" si="60"/>
        <v>-0.11266558265582657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7"/>
      <c r="E91" s="2"/>
      <c r="F91" s="6">
        <f t="shared" si="53"/>
        <v>0</v>
      </c>
      <c r="G91" s="2"/>
      <c r="H91" s="7">
        <v>0</v>
      </c>
      <c r="I91" s="2"/>
      <c r="J91" s="6">
        <f t="shared" si="54"/>
        <v>0</v>
      </c>
      <c r="K91" s="2"/>
      <c r="L91" s="7">
        <f t="shared" si="55"/>
        <v>0</v>
      </c>
      <c r="M91" s="2"/>
      <c r="N91" s="6">
        <f t="shared" si="56"/>
        <v>0</v>
      </c>
      <c r="O91" s="11"/>
      <c r="P91" s="7"/>
      <c r="Q91" s="2"/>
      <c r="R91" s="6">
        <f t="shared" si="57"/>
        <v>0</v>
      </c>
      <c r="S91" s="2"/>
      <c r="T91" s="7">
        <v>310</v>
      </c>
      <c r="U91" s="2"/>
      <c r="V91" s="6">
        <f t="shared" si="58"/>
        <v>8.0364366854520535E-5</v>
      </c>
      <c r="W91" s="2"/>
      <c r="X91" s="7">
        <f t="shared" si="59"/>
        <v>-310</v>
      </c>
      <c r="Y91" s="2"/>
      <c r="Z91" s="6">
        <f t="shared" si="60"/>
        <v>-1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7">
        <v>5369</v>
      </c>
      <c r="E92" s="2"/>
      <c r="F92" s="6">
        <f t="shared" si="53"/>
        <v>3.2887563612841883E-2</v>
      </c>
      <c r="G92" s="2"/>
      <c r="H92" s="7">
        <v>3761</v>
      </c>
      <c r="I92" s="2"/>
      <c r="J92" s="6">
        <f t="shared" si="54"/>
        <v>7.2793360533263138E-3</v>
      </c>
      <c r="K92" s="2"/>
      <c r="L92" s="7">
        <f t="shared" si="55"/>
        <v>1608</v>
      </c>
      <c r="M92" s="2"/>
      <c r="N92" s="6">
        <f t="shared" si="56"/>
        <v>0.42754586546131346</v>
      </c>
      <c r="O92" s="11"/>
      <c r="P92" s="7">
        <v>26294.75</v>
      </c>
      <c r="Q92" s="2"/>
      <c r="R92" s="6">
        <f t="shared" si="57"/>
        <v>1.8809154127165013E-2</v>
      </c>
      <c r="S92" s="2"/>
      <c r="T92" s="7">
        <v>35402</v>
      </c>
      <c r="U92" s="2"/>
      <c r="V92" s="6">
        <f t="shared" si="58"/>
        <v>9.1776106947862451E-3</v>
      </c>
      <c r="W92" s="2"/>
      <c r="X92" s="7">
        <f t="shared" si="59"/>
        <v>-9107.25</v>
      </c>
      <c r="Y92" s="2"/>
      <c r="Z92" s="6">
        <f t="shared" si="60"/>
        <v>-0.25725241511778996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7">
        <v>12282.71</v>
      </c>
      <c r="E93" s="2"/>
      <c r="F93" s="6">
        <f t="shared" si="53"/>
        <v>7.5237177586718038E-2</v>
      </c>
      <c r="G93" s="2"/>
      <c r="H93" s="7">
        <v>16193</v>
      </c>
      <c r="I93" s="2"/>
      <c r="J93" s="6">
        <f t="shared" si="54"/>
        <v>3.1341209442040149E-2</v>
      </c>
      <c r="K93" s="2"/>
      <c r="L93" s="7">
        <f t="shared" si="55"/>
        <v>-3910.2900000000009</v>
      </c>
      <c r="M93" s="2"/>
      <c r="N93" s="6">
        <f t="shared" si="56"/>
        <v>-0.24148026925214605</v>
      </c>
      <c r="O93" s="11"/>
      <c r="P93" s="7">
        <v>105922.44</v>
      </c>
      <c r="Q93" s="2"/>
      <c r="R93" s="6">
        <f t="shared" si="57"/>
        <v>7.576841382729968E-2</v>
      </c>
      <c r="S93" s="2"/>
      <c r="T93" s="7">
        <v>158491</v>
      </c>
      <c r="U93" s="2"/>
      <c r="V93" s="6">
        <f t="shared" si="58"/>
        <v>4.1087189893999398E-2</v>
      </c>
      <c r="W93" s="2"/>
      <c r="X93" s="7">
        <f t="shared" si="59"/>
        <v>-52568.56</v>
      </c>
      <c r="Y93" s="2"/>
      <c r="Z93" s="6">
        <f t="shared" si="60"/>
        <v>-0.33168167277637217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7">
        <v>1906.02</v>
      </c>
      <c r="E94" s="2"/>
      <c r="F94" s="6">
        <f t="shared" si="53"/>
        <v>1.167523821891393E-2</v>
      </c>
      <c r="G94" s="2"/>
      <c r="H94" s="7">
        <v>4500</v>
      </c>
      <c r="I94" s="2"/>
      <c r="J94" s="6">
        <f t="shared" si="54"/>
        <v>8.7096549428259534E-3</v>
      </c>
      <c r="K94" s="2"/>
      <c r="L94" s="7">
        <f t="shared" si="55"/>
        <v>-2593.98</v>
      </c>
      <c r="M94" s="2"/>
      <c r="N94" s="6">
        <f t="shared" si="56"/>
        <v>-0.57643999999999995</v>
      </c>
      <c r="O94" s="11"/>
      <c r="P94" s="7">
        <v>15492.38</v>
      </c>
      <c r="Q94" s="2"/>
      <c r="R94" s="6">
        <f t="shared" si="57"/>
        <v>1.1082005465600878E-2</v>
      </c>
      <c r="S94" s="2"/>
      <c r="T94" s="7">
        <v>45000</v>
      </c>
      <c r="U94" s="2"/>
      <c r="V94" s="6">
        <f t="shared" si="58"/>
        <v>1.1665795188559432E-2</v>
      </c>
      <c r="W94" s="2"/>
      <c r="X94" s="7">
        <f t="shared" si="59"/>
        <v>-29507.620000000003</v>
      </c>
      <c r="Y94" s="2"/>
      <c r="Z94" s="6">
        <f t="shared" si="60"/>
        <v>-0.65572488888888891</v>
      </c>
    </row>
    <row r="95" spans="1:26" s="25" customFormat="1" outlineLevel="1" collapsed="1" x14ac:dyDescent="0.25">
      <c r="A95" s="27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0</v>
      </c>
      <c r="E95" s="1"/>
      <c r="F95" s="5">
        <f t="shared" ref="F95:F97" si="61">IF(D$12=0,0,D95/D$12)</f>
        <v>0</v>
      </c>
      <c r="G95" s="1"/>
      <c r="H95" s="1">
        <f>SUM(OSRRefH22_18x_0)</f>
        <v>200</v>
      </c>
      <c r="I95" s="1"/>
      <c r="J95" s="5">
        <f t="shared" ref="J95:J97" si="62">IF(H$12=0,0,H95/H$12)</f>
        <v>3.8709577523670909E-4</v>
      </c>
      <c r="K95" s="1"/>
      <c r="L95" s="1">
        <f t="shared" ref="L95:L97" si="63">+D95-H95</f>
        <v>-200</v>
      </c>
      <c r="M95" s="1"/>
      <c r="N95" s="5">
        <f t="shared" ref="N95:N97" si="64">IF(H95=0,0,L95/H95)</f>
        <v>-1</v>
      </c>
      <c r="O95" s="13"/>
      <c r="P95" s="1">
        <f>SUM(OSRRefP22_18x_0)</f>
        <v>1711.08</v>
      </c>
      <c r="Q95" s="1"/>
      <c r="R95" s="5">
        <f t="shared" ref="R95:R97" si="65">IF(P$12=0,0,P95/P$12)</f>
        <v>1.2239693263449741E-3</v>
      </c>
      <c r="S95" s="1"/>
      <c r="T95" s="1">
        <f>SUM(OSRRefT22_18x_0)</f>
        <v>2881</v>
      </c>
      <c r="U95" s="1"/>
      <c r="V95" s="5">
        <f t="shared" ref="V95:V97" si="66">IF(T$12=0,0,T95/T$12)</f>
        <v>7.4687013196088282E-4</v>
      </c>
      <c r="W95" s="1"/>
      <c r="X95" s="1">
        <f t="shared" ref="X95:X97" si="67">+P95-T95</f>
        <v>-1169.92</v>
      </c>
      <c r="Y95" s="1"/>
      <c r="Z95" s="5">
        <f t="shared" ref="Z95:Z97" si="68">IF(T95=0,0,X95/T95)</f>
        <v>-0.40608122179798684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7"/>
      <c r="E96" s="2"/>
      <c r="F96" s="6">
        <f t="shared" si="61"/>
        <v>0</v>
      </c>
      <c r="G96" s="2"/>
      <c r="H96" s="7"/>
      <c r="I96" s="2"/>
      <c r="J96" s="6">
        <f t="shared" si="62"/>
        <v>0</v>
      </c>
      <c r="K96" s="2"/>
      <c r="L96" s="7">
        <f t="shared" si="63"/>
        <v>0</v>
      </c>
      <c r="M96" s="2"/>
      <c r="N96" s="6">
        <f t="shared" si="64"/>
        <v>0</v>
      </c>
      <c r="O96" s="11"/>
      <c r="P96" s="7">
        <v>795</v>
      </c>
      <c r="Q96" s="2"/>
      <c r="R96" s="6">
        <f t="shared" si="65"/>
        <v>5.6867920520621736E-4</v>
      </c>
      <c r="S96" s="2"/>
      <c r="T96" s="7">
        <v>900</v>
      </c>
      <c r="U96" s="2"/>
      <c r="V96" s="6">
        <f t="shared" si="66"/>
        <v>2.3331590377118864E-4</v>
      </c>
      <c r="W96" s="2"/>
      <c r="X96" s="7">
        <f t="shared" si="67"/>
        <v>-105</v>
      </c>
      <c r="Y96" s="2"/>
      <c r="Z96" s="6">
        <f t="shared" si="68"/>
        <v>-0.11666666666666667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7"/>
      <c r="E97" s="2"/>
      <c r="F97" s="6">
        <f t="shared" si="61"/>
        <v>0</v>
      </c>
      <c r="G97" s="2"/>
      <c r="H97" s="7">
        <v>200</v>
      </c>
      <c r="I97" s="2"/>
      <c r="J97" s="6">
        <f t="shared" si="62"/>
        <v>3.8709577523670909E-4</v>
      </c>
      <c r="K97" s="2"/>
      <c r="L97" s="7">
        <f t="shared" si="63"/>
        <v>-200</v>
      </c>
      <c r="M97" s="2"/>
      <c r="N97" s="6">
        <f t="shared" si="64"/>
        <v>-1</v>
      </c>
      <c r="O97" s="11"/>
      <c r="P97" s="7">
        <v>916.08</v>
      </c>
      <c r="Q97" s="2"/>
      <c r="R97" s="6">
        <f t="shared" si="65"/>
        <v>6.5529012113875679E-4</v>
      </c>
      <c r="S97" s="2"/>
      <c r="T97" s="7">
        <v>1981</v>
      </c>
      <c r="U97" s="2"/>
      <c r="V97" s="6">
        <f t="shared" si="66"/>
        <v>5.1355422818969408E-4</v>
      </c>
      <c r="W97" s="2"/>
      <c r="X97" s="7">
        <f t="shared" si="67"/>
        <v>-1064.92</v>
      </c>
      <c r="Y97" s="2"/>
      <c r="Z97" s="6">
        <f t="shared" si="68"/>
        <v>-0.5375668854114084</v>
      </c>
    </row>
    <row r="98" spans="1:26" s="25" customFormat="1" outlineLevel="1" collapsed="1" x14ac:dyDescent="0.25">
      <c r="A98" s="27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SUM(OSRRefD22_19x_0)</f>
        <v>13903.92</v>
      </c>
      <c r="E98" s="1"/>
      <c r="F98" s="5">
        <f t="shared" ref="F98:F109" si="69">IF(D$12=0,0,D98/D$12)</f>
        <v>8.5167825194238128E-2</v>
      </c>
      <c r="G98" s="1"/>
      <c r="H98" s="1">
        <f>SUM(OSRRefH22_19x_0)</f>
        <v>27323</v>
      </c>
      <c r="I98" s="1"/>
      <c r="J98" s="5">
        <f t="shared" ref="J98:J109" si="70">IF(H$12=0,0,H98/H$12)</f>
        <v>5.2883089333963011E-2</v>
      </c>
      <c r="K98" s="1"/>
      <c r="L98" s="1">
        <f t="shared" ref="L98:L109" si="71">+D98-H98</f>
        <v>-13419.08</v>
      </c>
      <c r="M98" s="1"/>
      <c r="N98" s="5">
        <f t="shared" ref="N98:N109" si="72">IF(H98=0,0,L98/H98)</f>
        <v>-0.4911276214178531</v>
      </c>
      <c r="O98" s="13"/>
      <c r="P98" s="1">
        <f>SUM(OSRRefP22_19x_0)</f>
        <v>112712.56000000001</v>
      </c>
      <c r="Q98" s="1"/>
      <c r="R98" s="5">
        <f t="shared" ref="R98:R109" si="73">IF(P$12=0,0,P98/P$12)</f>
        <v>8.0625520801959866E-2</v>
      </c>
      <c r="S98" s="1"/>
      <c r="T98" s="1">
        <f>SUM(OSRRefT22_19x_0)</f>
        <v>276367</v>
      </c>
      <c r="U98" s="1"/>
      <c r="V98" s="5">
        <f t="shared" ref="V98:V109" si="74">IF(T$12=0,0,T98/T$12)</f>
        <v>7.164535153059122E-2</v>
      </c>
      <c r="W98" s="1"/>
      <c r="X98" s="1">
        <f t="shared" ref="X98:X109" si="75">+P98-T98</f>
        <v>-163654.44</v>
      </c>
      <c r="Y98" s="1"/>
      <c r="Z98" s="5">
        <f t="shared" ref="Z98:Z109" si="76">IF(T98=0,0,X98/T98)</f>
        <v>-0.59216346379994722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7">
        <v>26.25</v>
      </c>
      <c r="E99" s="2"/>
      <c r="F99" s="6">
        <f t="shared" si="69"/>
        <v>1.6079317281376409E-4</v>
      </c>
      <c r="G99" s="2"/>
      <c r="H99" s="7">
        <v>100</v>
      </c>
      <c r="I99" s="2"/>
      <c r="J99" s="6">
        <f t="shared" si="70"/>
        <v>1.9354788761835454E-4</v>
      </c>
      <c r="K99" s="2"/>
      <c r="L99" s="7">
        <f t="shared" si="71"/>
        <v>-73.75</v>
      </c>
      <c r="M99" s="2"/>
      <c r="N99" s="6">
        <f t="shared" si="72"/>
        <v>-0.73750000000000004</v>
      </c>
      <c r="O99" s="11"/>
      <c r="P99" s="7">
        <v>337.16</v>
      </c>
      <c r="Q99" s="2"/>
      <c r="R99" s="6">
        <f t="shared" si="73"/>
        <v>2.4117720858783429E-4</v>
      </c>
      <c r="S99" s="2"/>
      <c r="T99" s="7">
        <v>2076</v>
      </c>
      <c r="U99" s="2"/>
      <c r="V99" s="6">
        <f t="shared" si="74"/>
        <v>5.3818201803220844E-4</v>
      </c>
      <c r="W99" s="2"/>
      <c r="X99" s="7">
        <f t="shared" si="75"/>
        <v>-1738.84</v>
      </c>
      <c r="Y99" s="2"/>
      <c r="Z99" s="6">
        <f t="shared" si="76"/>
        <v>-0.83759152215799615</v>
      </c>
    </row>
    <row r="100" spans="1:26" s="24" customFormat="1" hidden="1" outlineLevel="2" x14ac:dyDescent="0.25">
      <c r="A100" s="26"/>
      <c r="B100" s="11" t="str">
        <f>CONCATENATE("          ", "6235", " - ", "COVID-19 EXPENSES")</f>
        <v xml:space="preserve">          6235 - COVID-19 EXPENSES</v>
      </c>
      <c r="C100" s="11"/>
      <c r="D100" s="7">
        <v>2986.65</v>
      </c>
      <c r="E100" s="2"/>
      <c r="F100" s="6">
        <f t="shared" si="69"/>
        <v>1.8294587793684897E-2</v>
      </c>
      <c r="G100" s="2"/>
      <c r="H100" s="7">
        <v>12200</v>
      </c>
      <c r="I100" s="2"/>
      <c r="J100" s="6">
        <f t="shared" si="70"/>
        <v>2.3612842289439252E-2</v>
      </c>
      <c r="K100" s="2"/>
      <c r="L100" s="7">
        <f t="shared" si="71"/>
        <v>-9213.35</v>
      </c>
      <c r="M100" s="2"/>
      <c r="N100" s="6">
        <f t="shared" si="72"/>
        <v>-0.75519262295081968</v>
      </c>
      <c r="O100" s="11"/>
      <c r="P100" s="7">
        <v>63438.06</v>
      </c>
      <c r="Q100" s="2"/>
      <c r="R100" s="6">
        <f t="shared" si="73"/>
        <v>4.5378497535376511E-2</v>
      </c>
      <c r="S100" s="2"/>
      <c r="T100" s="7">
        <v>115000</v>
      </c>
      <c r="U100" s="2"/>
      <c r="V100" s="6">
        <f t="shared" si="74"/>
        <v>2.9812587704096328E-2</v>
      </c>
      <c r="W100" s="2"/>
      <c r="X100" s="7">
        <f t="shared" si="75"/>
        <v>-51561.94</v>
      </c>
      <c r="Y100" s="2"/>
      <c r="Z100" s="6">
        <f t="shared" si="76"/>
        <v>-0.44836469565217391</v>
      </c>
    </row>
    <row r="101" spans="1:26" s="24" customFormat="1" hidden="1" outlineLevel="2" x14ac:dyDescent="0.25">
      <c r="A101" s="26"/>
      <c r="B101" s="11" t="str">
        <f>CONCATENATE("          ", "6237", " - ", "JANITORIAL SUPPLIES")</f>
        <v xml:space="preserve">          6237 - JANITORIAL SUPPLIES</v>
      </c>
      <c r="C101" s="11"/>
      <c r="D101" s="7">
        <v>1902.43</v>
      </c>
      <c r="E101" s="2"/>
      <c r="F101" s="6">
        <f t="shared" si="69"/>
        <v>1.165324783832721E-2</v>
      </c>
      <c r="G101" s="2"/>
      <c r="H101" s="7">
        <v>9700</v>
      </c>
      <c r="I101" s="2"/>
      <c r="J101" s="6">
        <f t="shared" si="70"/>
        <v>1.8774145098980389E-2</v>
      </c>
      <c r="K101" s="2"/>
      <c r="L101" s="7">
        <f t="shared" si="71"/>
        <v>-7797.57</v>
      </c>
      <c r="M101" s="2"/>
      <c r="N101" s="6">
        <f t="shared" si="72"/>
        <v>-0.80387319587628858</v>
      </c>
      <c r="O101" s="11"/>
      <c r="P101" s="7">
        <v>22100.63</v>
      </c>
      <c r="Q101" s="2"/>
      <c r="R101" s="6">
        <f t="shared" si="73"/>
        <v>1.5809017236423504E-2</v>
      </c>
      <c r="S101" s="2"/>
      <c r="T101" s="7">
        <v>95149</v>
      </c>
      <c r="U101" s="2"/>
      <c r="V101" s="6">
        <f t="shared" si="74"/>
        <v>2.4666416586583143E-2</v>
      </c>
      <c r="W101" s="2"/>
      <c r="X101" s="7">
        <f t="shared" si="75"/>
        <v>-73048.37</v>
      </c>
      <c r="Y101" s="2"/>
      <c r="Z101" s="6">
        <f t="shared" si="76"/>
        <v>-0.76772609275977677</v>
      </c>
    </row>
    <row r="102" spans="1:26" s="24" customFormat="1" hidden="1" outlineLevel="2" x14ac:dyDescent="0.25">
      <c r="A102" s="26"/>
      <c r="B102" s="11" t="str">
        <f>CONCATENATE("          ", "6239", " - ", "KITCHEN SUPPLIES")</f>
        <v xml:space="preserve">          6239 - KITCHEN SUPPLIES</v>
      </c>
      <c r="C102" s="11"/>
      <c r="D102" s="7">
        <v>160.30000000000001</v>
      </c>
      <c r="E102" s="2"/>
      <c r="F102" s="6">
        <f t="shared" si="69"/>
        <v>9.8191030864938612E-4</v>
      </c>
      <c r="G102" s="2"/>
      <c r="H102" s="7">
        <v>2350</v>
      </c>
      <c r="I102" s="2"/>
      <c r="J102" s="6">
        <f t="shared" si="70"/>
        <v>4.5483753590313319E-3</v>
      </c>
      <c r="K102" s="2"/>
      <c r="L102" s="7">
        <f t="shared" si="71"/>
        <v>-2189.6999999999998</v>
      </c>
      <c r="M102" s="2"/>
      <c r="N102" s="6">
        <f t="shared" si="72"/>
        <v>-0.93178723404255315</v>
      </c>
      <c r="O102" s="11"/>
      <c r="P102" s="7">
        <v>7267.21</v>
      </c>
      <c r="Q102" s="2"/>
      <c r="R102" s="6">
        <f t="shared" si="73"/>
        <v>5.1983788765618552E-3</v>
      </c>
      <c r="S102" s="2"/>
      <c r="T102" s="7">
        <v>22643</v>
      </c>
      <c r="U102" s="2"/>
      <c r="V102" s="6">
        <f t="shared" si="74"/>
        <v>5.8699688989900271E-3</v>
      </c>
      <c r="W102" s="2"/>
      <c r="X102" s="7">
        <f t="shared" si="75"/>
        <v>-15375.79</v>
      </c>
      <c r="Y102" s="2"/>
      <c r="Z102" s="6">
        <f t="shared" si="76"/>
        <v>-0.67905268736474855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7">
        <v>1699</v>
      </c>
      <c r="E103" s="2"/>
      <c r="F103" s="6">
        <f t="shared" si="69"/>
        <v>1.0407146689927056E-2</v>
      </c>
      <c r="G103" s="2"/>
      <c r="H103" s="7">
        <v>1125</v>
      </c>
      <c r="I103" s="2"/>
      <c r="J103" s="6">
        <f t="shared" si="70"/>
        <v>2.1774137357064884E-3</v>
      </c>
      <c r="K103" s="2"/>
      <c r="L103" s="7">
        <f t="shared" si="71"/>
        <v>574</v>
      </c>
      <c r="M103" s="2"/>
      <c r="N103" s="6">
        <f t="shared" si="72"/>
        <v>0.51022222222222224</v>
      </c>
      <c r="O103" s="11"/>
      <c r="P103" s="7">
        <v>-20562.34</v>
      </c>
      <c r="Q103" s="2"/>
      <c r="R103" s="6">
        <f t="shared" si="73"/>
        <v>-1.4708648010540896E-2</v>
      </c>
      <c r="S103" s="2"/>
      <c r="T103" s="7">
        <v>15462</v>
      </c>
      <c r="U103" s="2"/>
      <c r="V103" s="6">
        <f t="shared" si="74"/>
        <v>4.0083672267890212E-3</v>
      </c>
      <c r="W103" s="2"/>
      <c r="X103" s="7">
        <f t="shared" si="75"/>
        <v>-36024.339999999997</v>
      </c>
      <c r="Y103" s="2"/>
      <c r="Z103" s="6">
        <f t="shared" si="76"/>
        <v>-2.3298628896649851</v>
      </c>
    </row>
    <row r="104" spans="1:26" s="24" customFormat="1" hidden="1" outlineLevel="2" x14ac:dyDescent="0.25">
      <c r="A104" s="26"/>
      <c r="B104" s="11" t="str">
        <f>CONCATENATE("          ", "6243", " - ", "PAPER SUPPLIES")</f>
        <v xml:space="preserve">          6243 - PAPER SUPPLIES</v>
      </c>
      <c r="C104" s="11"/>
      <c r="D104" s="7">
        <v>7129.29</v>
      </c>
      <c r="E104" s="2"/>
      <c r="F104" s="6">
        <f t="shared" si="69"/>
        <v>4.3670139390835819E-2</v>
      </c>
      <c r="G104" s="2"/>
      <c r="H104" s="7">
        <v>1000</v>
      </c>
      <c r="I104" s="2"/>
      <c r="J104" s="6">
        <f t="shared" si="70"/>
        <v>1.9354788761835452E-3</v>
      </c>
      <c r="K104" s="2"/>
      <c r="L104" s="7">
        <f t="shared" si="71"/>
        <v>6129.29</v>
      </c>
      <c r="M104" s="2"/>
      <c r="N104" s="6">
        <f t="shared" si="72"/>
        <v>6.1292900000000001</v>
      </c>
      <c r="O104" s="11"/>
      <c r="P104" s="7">
        <v>35631.25</v>
      </c>
      <c r="Q104" s="2"/>
      <c r="R104" s="6">
        <f t="shared" si="73"/>
        <v>2.5487737019501928E-2</v>
      </c>
      <c r="S104" s="2"/>
      <c r="T104" s="7">
        <v>10719</v>
      </c>
      <c r="U104" s="2"/>
      <c r="V104" s="6">
        <f t="shared" si="74"/>
        <v>2.7787924139148568E-3</v>
      </c>
      <c r="W104" s="2"/>
      <c r="X104" s="7">
        <f t="shared" si="75"/>
        <v>24912.25</v>
      </c>
      <c r="Y104" s="2"/>
      <c r="Z104" s="6">
        <f t="shared" si="76"/>
        <v>2.3241207202164382</v>
      </c>
    </row>
    <row r="105" spans="1:26" s="24" customFormat="1" hidden="1" outlineLevel="2" x14ac:dyDescent="0.25">
      <c r="A105" s="26"/>
      <c r="B105" s="11" t="str">
        <f>CONCATENATE("          ", "6244", " - ", "SAFETY SUPPLY EXPENSE")</f>
        <v xml:space="preserve">          6244 - SAFETY SUPPLY EXPENSE</v>
      </c>
      <c r="C105" s="11"/>
      <c r="D105" s="7"/>
      <c r="E105" s="2"/>
      <c r="F105" s="6">
        <f t="shared" si="69"/>
        <v>0</v>
      </c>
      <c r="G105" s="2"/>
      <c r="H105" s="7">
        <v>180</v>
      </c>
      <c r="I105" s="2"/>
      <c r="J105" s="6">
        <f t="shared" si="70"/>
        <v>3.4838619771303817E-4</v>
      </c>
      <c r="K105" s="2"/>
      <c r="L105" s="7">
        <f t="shared" si="71"/>
        <v>-180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1380</v>
      </c>
      <c r="U105" s="2"/>
      <c r="V105" s="6">
        <f t="shared" si="74"/>
        <v>3.5775105244915592E-4</v>
      </c>
      <c r="W105" s="2"/>
      <c r="X105" s="7">
        <f t="shared" si="75"/>
        <v>-1380</v>
      </c>
      <c r="Y105" s="2"/>
      <c r="Z105" s="6">
        <f t="shared" si="76"/>
        <v>-1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69"/>
        <v>0</v>
      </c>
      <c r="G106" s="2"/>
      <c r="H106" s="7">
        <v>150</v>
      </c>
      <c r="I106" s="2"/>
      <c r="J106" s="6">
        <f t="shared" si="70"/>
        <v>2.9032183142753182E-4</v>
      </c>
      <c r="K106" s="2"/>
      <c r="L106" s="7">
        <f t="shared" si="71"/>
        <v>-150</v>
      </c>
      <c r="M106" s="2"/>
      <c r="N106" s="6">
        <f t="shared" si="72"/>
        <v>-1</v>
      </c>
      <c r="O106" s="11"/>
      <c r="P106" s="7"/>
      <c r="Q106" s="2"/>
      <c r="R106" s="6">
        <f t="shared" si="73"/>
        <v>0</v>
      </c>
      <c r="S106" s="2"/>
      <c r="T106" s="7">
        <v>2500</v>
      </c>
      <c r="U106" s="2"/>
      <c r="V106" s="6">
        <f t="shared" si="74"/>
        <v>6.480997326977463E-4</v>
      </c>
      <c r="W106" s="2"/>
      <c r="X106" s="7">
        <f t="shared" si="75"/>
        <v>-2500</v>
      </c>
      <c r="Y106" s="2"/>
      <c r="Z106" s="6">
        <f t="shared" si="76"/>
        <v>-1</v>
      </c>
    </row>
    <row r="107" spans="1:26" s="24" customFormat="1" hidden="1" outlineLevel="2" x14ac:dyDescent="0.25">
      <c r="A107" s="26"/>
      <c r="B107" s="11" t="str">
        <f>CONCATENATE("          ", "6246", " - ", "REPLACEMENTS")</f>
        <v xml:space="preserve">          6246 - REPLACEMENTS</v>
      </c>
      <c r="C107" s="11"/>
      <c r="D107" s="7"/>
      <c r="E107" s="2"/>
      <c r="F107" s="6">
        <f t="shared" si="69"/>
        <v>0</v>
      </c>
      <c r="G107" s="2"/>
      <c r="H107" s="7">
        <v>0</v>
      </c>
      <c r="I107" s="2"/>
      <c r="J107" s="6">
        <f t="shared" si="70"/>
        <v>0</v>
      </c>
      <c r="K107" s="2"/>
      <c r="L107" s="7">
        <f t="shared" si="71"/>
        <v>0</v>
      </c>
      <c r="M107" s="2"/>
      <c r="N107" s="6">
        <f t="shared" si="72"/>
        <v>0</v>
      </c>
      <c r="O107" s="11"/>
      <c r="P107" s="7"/>
      <c r="Q107" s="2"/>
      <c r="R107" s="6">
        <f t="shared" si="73"/>
        <v>0</v>
      </c>
      <c r="S107" s="2"/>
      <c r="T107" s="7">
        <v>0</v>
      </c>
      <c r="U107" s="2"/>
      <c r="V107" s="6">
        <f t="shared" si="74"/>
        <v>0</v>
      </c>
      <c r="W107" s="2"/>
      <c r="X107" s="7">
        <f t="shared" si="75"/>
        <v>0</v>
      </c>
      <c r="Y107" s="2"/>
      <c r="Z107" s="6">
        <f t="shared" si="76"/>
        <v>0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69"/>
        <v>0</v>
      </c>
      <c r="G108" s="2"/>
      <c r="H108" s="7">
        <v>18</v>
      </c>
      <c r="I108" s="2"/>
      <c r="J108" s="6">
        <f t="shared" si="70"/>
        <v>3.4838619771303818E-5</v>
      </c>
      <c r="K108" s="2"/>
      <c r="L108" s="7">
        <f t="shared" si="71"/>
        <v>-18</v>
      </c>
      <c r="M108" s="2"/>
      <c r="N108" s="6">
        <f t="shared" si="72"/>
        <v>-1</v>
      </c>
      <c r="O108" s="11"/>
      <c r="P108" s="7"/>
      <c r="Q108" s="2"/>
      <c r="R108" s="6">
        <f t="shared" si="73"/>
        <v>0</v>
      </c>
      <c r="S108" s="2"/>
      <c r="T108" s="7">
        <v>573</v>
      </c>
      <c r="U108" s="2"/>
      <c r="V108" s="6">
        <f t="shared" si="74"/>
        <v>1.4854445873432344E-4</v>
      </c>
      <c r="W108" s="2"/>
      <c r="X108" s="7">
        <f t="shared" si="75"/>
        <v>-573</v>
      </c>
      <c r="Y108" s="2"/>
      <c r="Z108" s="6">
        <f t="shared" si="76"/>
        <v>-1</v>
      </c>
    </row>
    <row r="109" spans="1:26" s="24" customFormat="1" hidden="1" outlineLevel="2" x14ac:dyDescent="0.25">
      <c r="A109" s="26"/>
      <c r="B109" s="11" t="str">
        <f>CONCATENATE("          ", "6248", " - ", "UNIFORMS")</f>
        <v xml:space="preserve">          6248 - UNIFORMS</v>
      </c>
      <c r="C109" s="11"/>
      <c r="D109" s="7"/>
      <c r="E109" s="2"/>
      <c r="F109" s="6">
        <f t="shared" si="69"/>
        <v>0</v>
      </c>
      <c r="G109" s="2"/>
      <c r="H109" s="7">
        <v>500</v>
      </c>
      <c r="I109" s="2"/>
      <c r="J109" s="6">
        <f t="shared" si="70"/>
        <v>9.6773943809177262E-4</v>
      </c>
      <c r="K109" s="2"/>
      <c r="L109" s="7">
        <f t="shared" si="71"/>
        <v>-500</v>
      </c>
      <c r="M109" s="2"/>
      <c r="N109" s="6">
        <f t="shared" si="72"/>
        <v>-1</v>
      </c>
      <c r="O109" s="11"/>
      <c r="P109" s="7">
        <v>4500.59</v>
      </c>
      <c r="Q109" s="2"/>
      <c r="R109" s="6">
        <f t="shared" si="73"/>
        <v>3.2193609360491194E-3</v>
      </c>
      <c r="S109" s="2"/>
      <c r="T109" s="7">
        <v>10865</v>
      </c>
      <c r="U109" s="2"/>
      <c r="V109" s="6">
        <f t="shared" si="74"/>
        <v>2.8166414383044053E-3</v>
      </c>
      <c r="W109" s="2"/>
      <c r="X109" s="7">
        <f t="shared" si="75"/>
        <v>-6364.41</v>
      </c>
      <c r="Y109" s="2"/>
      <c r="Z109" s="6">
        <f t="shared" si="76"/>
        <v>-0.58577174413253563</v>
      </c>
    </row>
    <row r="110" spans="1:26" s="25" customFormat="1" outlineLevel="1" collapsed="1" x14ac:dyDescent="0.25">
      <c r="A110" s="27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SUM(OSRRefD22_20x_0)</f>
        <v>496.6</v>
      </c>
      <c r="E110" s="1"/>
      <c r="F110" s="5">
        <f t="shared" ref="F110:F112" si="77">IF(D$12=0,0,D110/D$12)</f>
        <v>3.0419005569262956E-3</v>
      </c>
      <c r="G110" s="1"/>
      <c r="H110" s="1">
        <f>SUM(OSRRefH22_20x_0)</f>
        <v>1110</v>
      </c>
      <c r="I110" s="1"/>
      <c r="J110" s="5">
        <f t="shared" ref="J110:J112" si="78">IF(H$12=0,0,H110/H$12)</f>
        <v>2.1483815525637352E-3</v>
      </c>
      <c r="K110" s="1"/>
      <c r="L110" s="1">
        <f t="shared" ref="L110:L112" si="79">+D110-H110</f>
        <v>-613.4</v>
      </c>
      <c r="M110" s="1"/>
      <c r="N110" s="5">
        <f t="shared" ref="N110:N112" si="80">IF(H110=0,0,L110/H110)</f>
        <v>-0.55261261261261263</v>
      </c>
      <c r="O110" s="13"/>
      <c r="P110" s="1">
        <f>SUM(OSRRefP22_20x_0)</f>
        <v>10621.33</v>
      </c>
      <c r="Q110" s="1"/>
      <c r="R110" s="5">
        <f t="shared" ref="R110:R112" si="81">IF(P$12=0,0,P110/P$12)</f>
        <v>7.597647173123211E-3</v>
      </c>
      <c r="S110" s="1"/>
      <c r="T110" s="1">
        <f>SUM(OSRRefT22_20x_0)</f>
        <v>10692</v>
      </c>
      <c r="U110" s="1"/>
      <c r="V110" s="5">
        <f t="shared" ref="V110:V112" si="82">IF(T$12=0,0,T110/T$12)</f>
        <v>2.7717929368017212E-3</v>
      </c>
      <c r="W110" s="1"/>
      <c r="X110" s="1">
        <f t="shared" ref="X110:X112" si="83">+P110-T110</f>
        <v>-70.670000000000073</v>
      </c>
      <c r="Y110" s="1"/>
      <c r="Z110" s="5">
        <f t="shared" ref="Z110:Z112" si="84">IF(T110=0,0,X110/T110)</f>
        <v>-6.6096146651702277E-3</v>
      </c>
    </row>
    <row r="111" spans="1:26" s="24" customFormat="1" hidden="1" outlineLevel="2" x14ac:dyDescent="0.25">
      <c r="A111" s="26"/>
      <c r="B111" s="11" t="str">
        <f>CONCATENATE("          ", "6303", " - ", "DATA PHONE LINES")</f>
        <v xml:space="preserve">          6303 - DATA PHONE LINES</v>
      </c>
      <c r="C111" s="11"/>
      <c r="D111" s="7"/>
      <c r="E111" s="2"/>
      <c r="F111" s="6">
        <f t="shared" si="77"/>
        <v>0</v>
      </c>
      <c r="G111" s="2"/>
      <c r="H111" s="7">
        <v>635</v>
      </c>
      <c r="I111" s="2"/>
      <c r="J111" s="6">
        <f t="shared" si="78"/>
        <v>1.2290290863765513E-3</v>
      </c>
      <c r="K111" s="2"/>
      <c r="L111" s="7">
        <f t="shared" si="79"/>
        <v>-635</v>
      </c>
      <c r="M111" s="2"/>
      <c r="N111" s="6">
        <f t="shared" si="80"/>
        <v>-1</v>
      </c>
      <c r="O111" s="11"/>
      <c r="P111" s="7"/>
      <c r="Q111" s="2"/>
      <c r="R111" s="6">
        <f t="shared" si="81"/>
        <v>0</v>
      </c>
      <c r="S111" s="2"/>
      <c r="T111" s="7">
        <v>6392</v>
      </c>
      <c r="U111" s="2"/>
      <c r="V111" s="6">
        <f t="shared" si="82"/>
        <v>1.6570613965615976E-3</v>
      </c>
      <c r="W111" s="2"/>
      <c r="X111" s="7">
        <f t="shared" si="83"/>
        <v>-6392</v>
      </c>
      <c r="Y111" s="2"/>
      <c r="Z111" s="6">
        <f t="shared" si="84"/>
        <v>-1</v>
      </c>
    </row>
    <row r="112" spans="1:26" s="24" customFormat="1" hidden="1" outlineLevel="2" x14ac:dyDescent="0.25">
      <c r="A112" s="26"/>
      <c r="B112" s="11" t="str">
        <f>CONCATENATE("          ", "6309", " - ", "TELEPHONE")</f>
        <v xml:space="preserve">          6309 - TELEPHONE</v>
      </c>
      <c r="C112" s="11"/>
      <c r="D112" s="7">
        <v>496.6</v>
      </c>
      <c r="E112" s="2"/>
      <c r="F112" s="6">
        <f t="shared" si="77"/>
        <v>3.0419005569262956E-3</v>
      </c>
      <c r="G112" s="2"/>
      <c r="H112" s="7">
        <v>475</v>
      </c>
      <c r="I112" s="2"/>
      <c r="J112" s="6">
        <f t="shared" si="78"/>
        <v>9.1935246618718403E-4</v>
      </c>
      <c r="K112" s="2"/>
      <c r="L112" s="7">
        <f t="shared" si="79"/>
        <v>21.600000000000023</v>
      </c>
      <c r="M112" s="2"/>
      <c r="N112" s="6">
        <f t="shared" si="80"/>
        <v>4.5473684210526361E-2</v>
      </c>
      <c r="O112" s="11"/>
      <c r="P112" s="7">
        <v>10621.33</v>
      </c>
      <c r="Q112" s="2"/>
      <c r="R112" s="6">
        <f t="shared" si="81"/>
        <v>7.597647173123211E-3</v>
      </c>
      <c r="S112" s="2"/>
      <c r="T112" s="7">
        <v>4300</v>
      </c>
      <c r="U112" s="2"/>
      <c r="V112" s="6">
        <f t="shared" si="82"/>
        <v>1.1147315402401236E-3</v>
      </c>
      <c r="W112" s="2"/>
      <c r="X112" s="7">
        <f t="shared" si="83"/>
        <v>6321.33</v>
      </c>
      <c r="Y112" s="2"/>
      <c r="Z112" s="6">
        <f t="shared" si="84"/>
        <v>1.4700767441860465</v>
      </c>
    </row>
    <row r="113" spans="1:26" s="25" customFormat="1" outlineLevel="1" collapsed="1" x14ac:dyDescent="0.25">
      <c r="A113" s="27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SUM(OSRRefD22_21x_0)</f>
        <v>0</v>
      </c>
      <c r="E113" s="1"/>
      <c r="F113" s="5">
        <f t="shared" ref="F113:F118" si="85">IF(D$12=0,0,D113/D$12)</f>
        <v>0</v>
      </c>
      <c r="G113" s="1"/>
      <c r="H113" s="1">
        <f>SUM(OSRRefH22_21x_0)</f>
        <v>750</v>
      </c>
      <c r="I113" s="1"/>
      <c r="J113" s="5">
        <f t="shared" ref="J113:J118" si="86">IF(H$12=0,0,H113/H$12)</f>
        <v>1.451609157137659E-3</v>
      </c>
      <c r="K113" s="1"/>
      <c r="L113" s="1">
        <f t="shared" ref="L113:L118" si="87">+D113-H113</f>
        <v>-750</v>
      </c>
      <c r="M113" s="1"/>
      <c r="N113" s="5">
        <f t="shared" ref="N113:N118" si="88">IF(H113=0,0,L113/H113)</f>
        <v>-1</v>
      </c>
      <c r="O113" s="13"/>
      <c r="P113" s="1">
        <f>SUM(OSRRefP22_21x_0)</f>
        <v>1186.23</v>
      </c>
      <c r="Q113" s="1"/>
      <c r="R113" s="5">
        <f t="shared" ref="R113:R118" si="89">IF(P$12=0,0,P113/P$12)</f>
        <v>8.485337529456242E-4</v>
      </c>
      <c r="S113" s="1"/>
      <c r="T113" s="1">
        <f>SUM(OSRRefT22_21x_0)</f>
        <v>8650</v>
      </c>
      <c r="U113" s="1"/>
      <c r="V113" s="5">
        <f t="shared" ref="V113:V118" si="90">IF(T$12=0,0,T113/T$12)</f>
        <v>2.242425075134202E-3</v>
      </c>
      <c r="W113" s="1"/>
      <c r="X113" s="1">
        <f t="shared" ref="X113:X118" si="91">+P113-T113</f>
        <v>-7463.77</v>
      </c>
      <c r="Y113" s="1"/>
      <c r="Z113" s="5">
        <f t="shared" ref="Z113:Z118" si="92">IF(T113=0,0,X113/T113)</f>
        <v>-0.86286358381502892</v>
      </c>
    </row>
    <row r="114" spans="1:26" s="24" customFormat="1" hidden="1" outlineLevel="2" x14ac:dyDescent="0.25">
      <c r="A114" s="26"/>
      <c r="B114" s="11" t="str">
        <f>CONCATENATE("          ", "6376", " - ", "TRAINING")</f>
        <v xml:space="preserve">          6376 - TRAINING</v>
      </c>
      <c r="C114" s="11"/>
      <c r="D114" s="7"/>
      <c r="E114" s="2"/>
      <c r="F114" s="6">
        <f t="shared" si="85"/>
        <v>0</v>
      </c>
      <c r="G114" s="2"/>
      <c r="H114" s="7">
        <v>750</v>
      </c>
      <c r="I114" s="2"/>
      <c r="J114" s="6">
        <f t="shared" si="86"/>
        <v>1.451609157137659E-3</v>
      </c>
      <c r="K114" s="2"/>
      <c r="L114" s="7">
        <f t="shared" si="87"/>
        <v>-750</v>
      </c>
      <c r="M114" s="2"/>
      <c r="N114" s="6">
        <f t="shared" si="88"/>
        <v>-1</v>
      </c>
      <c r="O114" s="11"/>
      <c r="P114" s="7">
        <v>1186.23</v>
      </c>
      <c r="Q114" s="2"/>
      <c r="R114" s="6">
        <f t="shared" si="89"/>
        <v>8.485337529456242E-4</v>
      </c>
      <c r="S114" s="2"/>
      <c r="T114" s="7">
        <v>8650</v>
      </c>
      <c r="U114" s="2"/>
      <c r="V114" s="6">
        <f t="shared" si="90"/>
        <v>2.242425075134202E-3</v>
      </c>
      <c r="W114" s="2"/>
      <c r="X114" s="7">
        <f t="shared" si="91"/>
        <v>-7463.77</v>
      </c>
      <c r="Y114" s="2"/>
      <c r="Z114" s="6">
        <f t="shared" si="92"/>
        <v>-0.86286358381502892</v>
      </c>
    </row>
    <row r="115" spans="1:26" s="25" customFormat="1" outlineLevel="1" collapsed="1" x14ac:dyDescent="0.25">
      <c r="A115" s="27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SUM(OSRRefD22_22x_0)</f>
        <v>160.30000000000001</v>
      </c>
      <c r="E115" s="1"/>
      <c r="F115" s="5">
        <f t="shared" si="85"/>
        <v>9.8191030864938612E-4</v>
      </c>
      <c r="G115" s="1"/>
      <c r="H115" s="1">
        <f>SUM(OSRRefH22_22x_0)</f>
        <v>300</v>
      </c>
      <c r="I115" s="1"/>
      <c r="J115" s="5">
        <f t="shared" si="86"/>
        <v>5.8064366285506363E-4</v>
      </c>
      <c r="K115" s="1"/>
      <c r="L115" s="1">
        <f t="shared" si="87"/>
        <v>-139.69999999999999</v>
      </c>
      <c r="M115" s="1"/>
      <c r="N115" s="5">
        <f t="shared" si="88"/>
        <v>-0.46566666666666662</v>
      </c>
      <c r="O115" s="13"/>
      <c r="P115" s="1">
        <f>SUM(OSRRefP22_22x_0)</f>
        <v>492.51</v>
      </c>
      <c r="Q115" s="1"/>
      <c r="R115" s="5">
        <f t="shared" si="89"/>
        <v>3.5230213252341398E-4</v>
      </c>
      <c r="S115" s="1"/>
      <c r="T115" s="1">
        <f>SUM(OSRRefT22_22x_0)</f>
        <v>3000</v>
      </c>
      <c r="U115" s="1"/>
      <c r="V115" s="5">
        <f t="shared" si="90"/>
        <v>7.7771967923729549E-4</v>
      </c>
      <c r="W115" s="1"/>
      <c r="X115" s="1">
        <f t="shared" si="91"/>
        <v>-2507.4899999999998</v>
      </c>
      <c r="Y115" s="1"/>
      <c r="Z115" s="5">
        <f t="shared" si="92"/>
        <v>-0.83582999999999996</v>
      </c>
    </row>
    <row r="116" spans="1:26" s="24" customFormat="1" hidden="1" outlineLevel="2" x14ac:dyDescent="0.25">
      <c r="A116" s="26"/>
      <c r="B116" s="11" t="str">
        <f>CONCATENATE("          ", "6292", " - ", "TRAVEL/CONFERENCE")</f>
        <v xml:space="preserve">          6292 - TRAVEL/CONFERENCE</v>
      </c>
      <c r="C116" s="11"/>
      <c r="D116" s="7"/>
      <c r="E116" s="2"/>
      <c r="F116" s="6">
        <f t="shared" si="85"/>
        <v>0</v>
      </c>
      <c r="G116" s="2"/>
      <c r="H116" s="7">
        <v>300</v>
      </c>
      <c r="I116" s="2"/>
      <c r="J116" s="6">
        <f t="shared" si="86"/>
        <v>5.8064366285506363E-4</v>
      </c>
      <c r="K116" s="2"/>
      <c r="L116" s="7">
        <f t="shared" si="87"/>
        <v>-300</v>
      </c>
      <c r="M116" s="2"/>
      <c r="N116" s="6">
        <f t="shared" si="88"/>
        <v>-1</v>
      </c>
      <c r="O116" s="11"/>
      <c r="P116" s="7"/>
      <c r="Q116" s="2"/>
      <c r="R116" s="6">
        <f t="shared" si="89"/>
        <v>0</v>
      </c>
      <c r="S116" s="2"/>
      <c r="T116" s="7">
        <v>3000</v>
      </c>
      <c r="U116" s="2"/>
      <c r="V116" s="6">
        <f t="shared" si="90"/>
        <v>7.7771967923729549E-4</v>
      </c>
      <c r="W116" s="2"/>
      <c r="X116" s="7">
        <f t="shared" si="91"/>
        <v>-3000</v>
      </c>
      <c r="Y116" s="2"/>
      <c r="Z116" s="6">
        <f t="shared" si="92"/>
        <v>-1</v>
      </c>
    </row>
    <row r="117" spans="1:26" s="24" customFormat="1" hidden="1" outlineLevel="2" x14ac:dyDescent="0.25">
      <c r="A117" s="26"/>
      <c r="B117" s="11" t="str">
        <f>CONCATENATE("          ", "6294", " - ", "TRAVEL OPERATIONAL")</f>
        <v xml:space="preserve">          6294 - TRAVEL OPERATIONAL</v>
      </c>
      <c r="C117" s="11"/>
      <c r="D117" s="7">
        <v>160.30000000000001</v>
      </c>
      <c r="E117" s="2"/>
      <c r="F117" s="6">
        <f t="shared" si="85"/>
        <v>9.8191030864938612E-4</v>
      </c>
      <c r="G117" s="2"/>
      <c r="H117" s="7"/>
      <c r="I117" s="2"/>
      <c r="J117" s="6">
        <f t="shared" si="86"/>
        <v>0</v>
      </c>
      <c r="K117" s="2"/>
      <c r="L117" s="7">
        <f t="shared" si="87"/>
        <v>160.30000000000001</v>
      </c>
      <c r="M117" s="2"/>
      <c r="N117" s="6">
        <f t="shared" si="88"/>
        <v>0</v>
      </c>
      <c r="O117" s="11"/>
      <c r="P117" s="7">
        <v>160.30000000000001</v>
      </c>
      <c r="Q117" s="2"/>
      <c r="R117" s="6">
        <f t="shared" si="89"/>
        <v>1.1466575672271277E-4</v>
      </c>
      <c r="S117" s="2"/>
      <c r="T117" s="7">
        <v>0</v>
      </c>
      <c r="U117" s="2"/>
      <c r="V117" s="6">
        <f t="shared" si="90"/>
        <v>0</v>
      </c>
      <c r="W117" s="2"/>
      <c r="X117" s="7">
        <f t="shared" si="91"/>
        <v>160.30000000000001</v>
      </c>
      <c r="Y117" s="2"/>
      <c r="Z117" s="6">
        <f t="shared" si="92"/>
        <v>0</v>
      </c>
    </row>
    <row r="118" spans="1:26" s="24" customFormat="1" hidden="1" outlineLevel="2" x14ac:dyDescent="0.25">
      <c r="A118" s="26"/>
      <c r="B118" s="11" t="str">
        <f>CONCATENATE("          ", "6298", " - ", "VEHICLE MILEAGE")</f>
        <v xml:space="preserve">          6298 - VEHICLE MILEAGE</v>
      </c>
      <c r="C118" s="11"/>
      <c r="D118" s="7"/>
      <c r="E118" s="2"/>
      <c r="F118" s="6">
        <f t="shared" si="85"/>
        <v>0</v>
      </c>
      <c r="G118" s="2"/>
      <c r="H118" s="7"/>
      <c r="I118" s="2"/>
      <c r="J118" s="6">
        <f t="shared" si="86"/>
        <v>0</v>
      </c>
      <c r="K118" s="2"/>
      <c r="L118" s="7">
        <f t="shared" si="87"/>
        <v>0</v>
      </c>
      <c r="M118" s="2"/>
      <c r="N118" s="6">
        <f t="shared" si="88"/>
        <v>0</v>
      </c>
      <c r="O118" s="11"/>
      <c r="P118" s="7">
        <v>332.21</v>
      </c>
      <c r="Q118" s="2"/>
      <c r="R118" s="6">
        <f t="shared" si="89"/>
        <v>2.3763637580070121E-4</v>
      </c>
      <c r="S118" s="2"/>
      <c r="T118" s="7"/>
      <c r="U118" s="2"/>
      <c r="V118" s="6">
        <f t="shared" si="90"/>
        <v>0</v>
      </c>
      <c r="W118" s="2"/>
      <c r="X118" s="7">
        <f t="shared" si="91"/>
        <v>332.21</v>
      </c>
      <c r="Y118" s="2"/>
      <c r="Z118" s="6">
        <f t="shared" si="92"/>
        <v>0</v>
      </c>
    </row>
    <row r="119" spans="1:26" s="25" customFormat="1" outlineLevel="1" collapsed="1" x14ac:dyDescent="0.25">
      <c r="A119" s="27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SUM(OSRRefD22_23x_0)</f>
        <v>3648</v>
      </c>
      <c r="E119" s="1"/>
      <c r="F119" s="5">
        <f t="shared" ref="F119:F120" si="93">IF(D$12=0,0,D119/D$12)</f>
        <v>2.2345656930461387E-2</v>
      </c>
      <c r="G119" s="1"/>
      <c r="H119" s="1">
        <f>SUM(OSRRefH22_23x_0)</f>
        <v>3300</v>
      </c>
      <c r="I119" s="1"/>
      <c r="J119" s="5">
        <f t="shared" ref="J119:J120" si="94">IF(H$12=0,0,H119/H$12)</f>
        <v>6.3870802914056998E-3</v>
      </c>
      <c r="K119" s="1"/>
      <c r="L119" s="1">
        <f t="shared" ref="L119:L120" si="95">+D119-H119</f>
        <v>348</v>
      </c>
      <c r="M119" s="1"/>
      <c r="N119" s="5">
        <f t="shared" ref="N119:N120" si="96">IF(H119=0,0,L119/H119)</f>
        <v>0.10545454545454545</v>
      </c>
      <c r="O119" s="13"/>
      <c r="P119" s="1">
        <f>SUM(OSRRefP22_23x_0)</f>
        <v>2188</v>
      </c>
      <c r="Q119" s="1"/>
      <c r="R119" s="5">
        <f t="shared" ref="R119:R120" si="97">IF(P$12=0,0,P119/P$12)</f>
        <v>1.5651196238883065E-3</v>
      </c>
      <c r="S119" s="1"/>
      <c r="T119" s="1">
        <f>SUM(OSRRefT22_23x_0)</f>
        <v>33000</v>
      </c>
      <c r="U119" s="1"/>
      <c r="V119" s="5">
        <f t="shared" ref="V119:V120" si="98">IF(T$12=0,0,T119/T$12)</f>
        <v>8.5549164716102501E-3</v>
      </c>
      <c r="W119" s="1"/>
      <c r="X119" s="1">
        <f t="shared" ref="X119:X120" si="99">+P119-T119</f>
        <v>-30812</v>
      </c>
      <c r="Y119" s="1"/>
      <c r="Z119" s="5">
        <f t="shared" ref="Z119:Z120" si="100">IF(T119=0,0,X119/T119)</f>
        <v>-0.93369696969696969</v>
      </c>
    </row>
    <row r="120" spans="1:26" s="24" customFormat="1" hidden="1" outlineLevel="2" x14ac:dyDescent="0.25">
      <c r="A120" s="26"/>
      <c r="B120" s="11" t="str">
        <f>CONCATENATE("          ", "6274", " - ", "UTILITIES")</f>
        <v xml:space="preserve">          6274 - UTILITIES</v>
      </c>
      <c r="C120" s="11"/>
      <c r="D120" s="7">
        <v>3648</v>
      </c>
      <c r="E120" s="2"/>
      <c r="F120" s="6">
        <f t="shared" si="93"/>
        <v>2.2345656930461387E-2</v>
      </c>
      <c r="G120" s="2"/>
      <c r="H120" s="7">
        <v>3300</v>
      </c>
      <c r="I120" s="2"/>
      <c r="J120" s="6">
        <f t="shared" si="94"/>
        <v>6.3870802914056998E-3</v>
      </c>
      <c r="K120" s="2"/>
      <c r="L120" s="7">
        <f t="shared" si="95"/>
        <v>348</v>
      </c>
      <c r="M120" s="2"/>
      <c r="N120" s="6">
        <f t="shared" si="96"/>
        <v>0.10545454545454545</v>
      </c>
      <c r="O120" s="11"/>
      <c r="P120" s="7">
        <v>2188</v>
      </c>
      <c r="Q120" s="2"/>
      <c r="R120" s="6">
        <f t="shared" si="97"/>
        <v>1.5651196238883065E-3</v>
      </c>
      <c r="S120" s="2"/>
      <c r="T120" s="7">
        <v>33000</v>
      </c>
      <c r="U120" s="2"/>
      <c r="V120" s="6">
        <f t="shared" si="98"/>
        <v>8.5549164716102501E-3</v>
      </c>
      <c r="W120" s="2"/>
      <c r="X120" s="7">
        <f t="shared" si="99"/>
        <v>-30812</v>
      </c>
      <c r="Y120" s="2"/>
      <c r="Z120" s="6">
        <f t="shared" si="100"/>
        <v>-0.93369696969696969</v>
      </c>
    </row>
    <row r="121" spans="1:26" s="61" customFormat="1" x14ac:dyDescent="0.25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293</v>
      </c>
      <c r="C122" s="10"/>
      <c r="D122" s="4">
        <f>SUM(OSRRefD25x_0)</f>
        <v>1579.7400000000002</v>
      </c>
      <c r="E122" s="4"/>
      <c r="F122" s="12">
        <f t="shared" ref="F122:F126" si="101">IF(D$12=0,0,D122/D$12)</f>
        <v>9.6766250217453619E-3</v>
      </c>
      <c r="G122" s="4"/>
      <c r="H122" s="4">
        <f>SUM(OSRRefH25x_0)</f>
        <v>12296</v>
      </c>
      <c r="I122" s="4"/>
      <c r="J122" s="12">
        <f t="shared" ref="J122:J126" si="102">IF(H$12=0,0,H122/H$12)</f>
        <v>2.3798648261552872E-2</v>
      </c>
      <c r="K122" s="4"/>
      <c r="L122" s="4">
        <f t="shared" ref="L122:L126" si="103">+D122-H122</f>
        <v>-10716.26</v>
      </c>
      <c r="M122" s="4"/>
      <c r="N122" s="12">
        <f t="shared" ref="N122:N126" si="104">IF(H122=0,0,L122/H122)</f>
        <v>-0.87152407286922573</v>
      </c>
      <c r="O122" s="10"/>
      <c r="P122" s="4">
        <f>SUM(OSRRefP25x_0)</f>
        <v>22445.4</v>
      </c>
      <c r="Q122" s="4"/>
      <c r="R122" s="12">
        <f t="shared" ref="R122:R126" si="105">IF(P$12=0,0,P122/P$12)</f>
        <v>1.6055638028346707E-2</v>
      </c>
      <c r="S122" s="4"/>
      <c r="T122" s="4">
        <f>SUM(OSRRefT25x_0)</f>
        <v>63687</v>
      </c>
      <c r="U122" s="4"/>
      <c r="V122" s="12">
        <f t="shared" ref="V122:V126" si="106">IF(T$12=0,0,T122/T$12)</f>
        <v>1.6510211070528545E-2</v>
      </c>
      <c r="W122" s="4"/>
      <c r="X122" s="4">
        <f t="shared" ref="X122:X126" si="107">+P122-T122</f>
        <v>-41241.599999999999</v>
      </c>
      <c r="Y122" s="4"/>
      <c r="Z122" s="12">
        <f t="shared" ref="Z122:Z126" si="108">IF(T122=0,0,X122/T122)</f>
        <v>-0.64756700739554385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--496.99</f>
        <v>496.99</v>
      </c>
      <c r="E123" s="2"/>
      <c r="F123" s="19">
        <f t="shared" si="101"/>
        <v>3.0442894840652427E-3</v>
      </c>
      <c r="G123" s="2"/>
      <c r="H123" s="2">
        <v>3862</v>
      </c>
      <c r="I123" s="2"/>
      <c r="J123" s="19">
        <f t="shared" si="102"/>
        <v>7.4748194198208523E-3</v>
      </c>
      <c r="K123" s="2"/>
      <c r="L123" s="2">
        <f t="shared" si="103"/>
        <v>-3365.01</v>
      </c>
      <c r="M123" s="2"/>
      <c r="N123" s="19">
        <f t="shared" si="104"/>
        <v>-0.87131279129984474</v>
      </c>
      <c r="O123" s="11"/>
      <c r="P123" s="2">
        <f>--5341.48</f>
        <v>5341.48</v>
      </c>
      <c r="Q123" s="2"/>
      <c r="R123" s="19">
        <f t="shared" si="105"/>
        <v>3.820866164811202E-3</v>
      </c>
      <c r="S123" s="2"/>
      <c r="T123" s="2">
        <v>23504</v>
      </c>
      <c r="U123" s="2"/>
      <c r="V123" s="19">
        <f t="shared" si="106"/>
        <v>6.0931744469311308E-3</v>
      </c>
      <c r="W123" s="2"/>
      <c r="X123" s="2">
        <f t="shared" si="107"/>
        <v>-18162.52</v>
      </c>
      <c r="Y123" s="2"/>
      <c r="Z123" s="19">
        <f t="shared" si="108"/>
        <v>-0.77274166099387342</v>
      </c>
    </row>
    <row r="124" spans="1:26" s="24" customFormat="1" hidden="1" outlineLevel="1" x14ac:dyDescent="0.25">
      <c r="A124" s="44"/>
      <c r="B124" s="11" t="str">
        <f>CONCATENATE("          ", "9151", " - ", "MISC. INCOME")</f>
        <v xml:space="preserve">          9151 - MISC. INCOME</v>
      </c>
      <c r="C124" s="11"/>
      <c r="D124" s="2">
        <f>0</f>
        <v>0</v>
      </c>
      <c r="E124" s="2"/>
      <c r="F124" s="19">
        <f t="shared" si="101"/>
        <v>0</v>
      </c>
      <c r="G124" s="2"/>
      <c r="H124" s="2">
        <v>7070</v>
      </c>
      <c r="I124" s="2"/>
      <c r="J124" s="19">
        <f t="shared" si="102"/>
        <v>1.3683835654617666E-2</v>
      </c>
      <c r="K124" s="2"/>
      <c r="L124" s="2">
        <f t="shared" si="103"/>
        <v>-7070</v>
      </c>
      <c r="M124" s="2"/>
      <c r="N124" s="19">
        <f t="shared" si="104"/>
        <v>-1</v>
      </c>
      <c r="O124" s="11"/>
      <c r="P124" s="2">
        <f>0</f>
        <v>0</v>
      </c>
      <c r="Q124" s="2"/>
      <c r="R124" s="19">
        <f t="shared" si="105"/>
        <v>0</v>
      </c>
      <c r="S124" s="2"/>
      <c r="T124" s="2">
        <v>29368</v>
      </c>
      <c r="U124" s="2"/>
      <c r="V124" s="19">
        <f t="shared" si="106"/>
        <v>7.6133571799469647E-3</v>
      </c>
      <c r="W124" s="2"/>
      <c r="X124" s="2">
        <f t="shared" si="107"/>
        <v>-29368</v>
      </c>
      <c r="Y124" s="2"/>
      <c r="Z124" s="19">
        <f t="shared" si="108"/>
        <v>-1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--732.1</f>
        <v>732.1</v>
      </c>
      <c r="E125" s="2"/>
      <c r="F125" s="19">
        <f t="shared" si="101"/>
        <v>4.4844450215983508E-3</v>
      </c>
      <c r="G125" s="2"/>
      <c r="H125" s="2">
        <v>1364</v>
      </c>
      <c r="I125" s="2"/>
      <c r="J125" s="19">
        <f t="shared" si="102"/>
        <v>2.6399931871143559E-3</v>
      </c>
      <c r="K125" s="2"/>
      <c r="L125" s="2">
        <f t="shared" si="103"/>
        <v>-631.9</v>
      </c>
      <c r="M125" s="2"/>
      <c r="N125" s="19">
        <f t="shared" si="104"/>
        <v>-0.46326979472140761</v>
      </c>
      <c r="O125" s="11"/>
      <c r="P125" s="2">
        <f>--13615.06</f>
        <v>13615.06</v>
      </c>
      <c r="Q125" s="2"/>
      <c r="R125" s="19">
        <f t="shared" si="105"/>
        <v>9.73912138318863E-3</v>
      </c>
      <c r="S125" s="2"/>
      <c r="T125" s="2">
        <v>10815</v>
      </c>
      <c r="U125" s="2"/>
      <c r="V125" s="19">
        <f t="shared" si="106"/>
        <v>2.8036794436504505E-3</v>
      </c>
      <c r="W125" s="2"/>
      <c r="X125" s="2">
        <f t="shared" si="107"/>
        <v>2800.0599999999995</v>
      </c>
      <c r="Y125" s="2"/>
      <c r="Z125" s="19">
        <f t="shared" si="108"/>
        <v>0.25890522422561252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--350.65</f>
        <v>350.65</v>
      </c>
      <c r="E126" s="2"/>
      <c r="F126" s="19">
        <f t="shared" si="101"/>
        <v>2.1478905160817667E-3</v>
      </c>
      <c r="G126" s="2"/>
      <c r="H126" s="2"/>
      <c r="I126" s="2"/>
      <c r="J126" s="19">
        <f t="shared" si="102"/>
        <v>0</v>
      </c>
      <c r="K126" s="2"/>
      <c r="L126" s="2">
        <f t="shared" si="103"/>
        <v>350.65</v>
      </c>
      <c r="M126" s="2"/>
      <c r="N126" s="19">
        <f t="shared" si="104"/>
        <v>0</v>
      </c>
      <c r="O126" s="11"/>
      <c r="P126" s="2">
        <f>--3488.86</f>
        <v>3488.86</v>
      </c>
      <c r="Q126" s="2"/>
      <c r="R126" s="19">
        <f t="shared" si="105"/>
        <v>2.4956504803468724E-3</v>
      </c>
      <c r="S126" s="2"/>
      <c r="T126" s="2"/>
      <c r="U126" s="2"/>
      <c r="V126" s="19">
        <f t="shared" si="106"/>
        <v>0</v>
      </c>
      <c r="W126" s="2"/>
      <c r="X126" s="2">
        <f t="shared" si="107"/>
        <v>3488.86</v>
      </c>
      <c r="Y126" s="2"/>
      <c r="Z126" s="19">
        <f t="shared" si="108"/>
        <v>0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277</v>
      </c>
      <c r="C128" s="28"/>
      <c r="D128" s="21">
        <f>+D28-D30+D122</f>
        <v>-253588.08000000007</v>
      </c>
      <c r="E128" s="14"/>
      <c r="F128" s="20">
        <f>IF(D$12=0,0,D128/D$12)</f>
        <v>-1.5533421703219294</v>
      </c>
      <c r="G128" s="14"/>
      <c r="H128" s="21">
        <f>+H28-H30+H122</f>
        <v>-137372.47444554861</v>
      </c>
      <c r="I128" s="14"/>
      <c r="J128" s="20">
        <f>IF(H$12=0,0,H128/H$12)</f>
        <v>-0.26588152245842323</v>
      </c>
      <c r="K128" s="16"/>
      <c r="L128" s="21">
        <f>+D128-H128</f>
        <v>-116215.60555445147</v>
      </c>
      <c r="M128" s="16"/>
      <c r="N128" s="20">
        <f>IF(H128=0,0,L128/H128)</f>
        <v>0.84598902380925478</v>
      </c>
      <c r="O128" s="29"/>
      <c r="P128" s="21">
        <f>+P28-P30+P122</f>
        <v>-2390377.4699999997</v>
      </c>
      <c r="Q128" s="14"/>
      <c r="R128" s="20">
        <f>IF(P$12=0,0,P128/P$12)</f>
        <v>-1.7098842261414446</v>
      </c>
      <c r="S128" s="14"/>
      <c r="T128" s="21">
        <f>+T28-T30+T122</f>
        <v>-1933813.6100085638</v>
      </c>
      <c r="U128" s="14"/>
      <c r="V128" s="20">
        <f>IF(T$12=0,0,T128/T$12)</f>
        <v>-0.50132163349352554</v>
      </c>
      <c r="W128" s="16"/>
      <c r="X128" s="21">
        <f>+P128-T128</f>
        <v>-456563.85999143589</v>
      </c>
      <c r="Y128" s="16"/>
      <c r="Z128" s="20">
        <f>IF(T128=0,0,X128/T128)</f>
        <v>0.23609507019107906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2"/>
      <c r="B130" s="10" t="s">
        <v>128</v>
      </c>
      <c r="C130" s="10"/>
      <c r="D130" s="4">
        <v>37996.35</v>
      </c>
      <c r="E130" s="4"/>
      <c r="F130" s="12">
        <f>IF(D$12=0,0,D130/D$12)</f>
        <v>0.23274490178446725</v>
      </c>
      <c r="G130" s="4"/>
      <c r="H130" s="4">
        <v>107981</v>
      </c>
      <c r="I130" s="4"/>
      <c r="J130" s="12">
        <f>IF(H$12=0,0,H130/H$12)</f>
        <v>0.20899494452917541</v>
      </c>
      <c r="K130" s="4"/>
      <c r="L130" s="4">
        <f>+D130-H130</f>
        <v>-69984.649999999994</v>
      </c>
      <c r="M130" s="4"/>
      <c r="N130" s="12">
        <f>IF(H130=0,0,L130/H130)</f>
        <v>-0.6481200396366027</v>
      </c>
      <c r="O130" s="10"/>
      <c r="P130" s="4">
        <v>292462.28999999998</v>
      </c>
      <c r="Q130" s="4"/>
      <c r="R130" s="12">
        <f>IF(P$12=0,0,P130/P$12)</f>
        <v>0.20920405362262923</v>
      </c>
      <c r="S130" s="4"/>
      <c r="T130" s="4">
        <v>698761</v>
      </c>
      <c r="U130" s="4"/>
      <c r="V130" s="12">
        <f>IF(T$12=0,0,T130/T$12)</f>
        <v>0.18114672692784395</v>
      </c>
      <c r="W130" s="4"/>
      <c r="X130" s="4">
        <f>+P130-T130</f>
        <v>-406298.71</v>
      </c>
      <c r="Y130" s="4"/>
      <c r="Z130" s="12">
        <f>IF(T130=0,0,X130/T130)</f>
        <v>-0.58145590552420645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126</v>
      </c>
      <c r="C132" s="28"/>
      <c r="D132" s="31">
        <f>+D128-D130</f>
        <v>-291584.43000000005</v>
      </c>
      <c r="E132" s="14"/>
      <c r="F132" s="33">
        <f>IF(D$12=0,0,D132/D$12)</f>
        <v>-1.7860870721063966</v>
      </c>
      <c r="G132" s="14"/>
      <c r="H132" s="31">
        <f>+H128-H130</f>
        <v>-245353.47444554861</v>
      </c>
      <c r="I132" s="14"/>
      <c r="J132" s="33">
        <f>IF(H$12=0,0,H132/H$12)</f>
        <v>-0.47487646698759861</v>
      </c>
      <c r="K132" s="16"/>
      <c r="L132" s="31">
        <f>D132-H132</f>
        <v>-46230.955554451444</v>
      </c>
      <c r="M132" s="16"/>
      <c r="N132" s="33">
        <f>IF(H132=0,0,L132/H132)</f>
        <v>0.1884259257339822</v>
      </c>
      <c r="O132" s="29"/>
      <c r="P132" s="31">
        <f>+P128-P130</f>
        <v>-2682839.7599999998</v>
      </c>
      <c r="Q132" s="14"/>
      <c r="R132" s="33">
        <f>IF(P$12=0,0,P132/P$12)</f>
        <v>-1.919088279764074</v>
      </c>
      <c r="S132" s="14"/>
      <c r="T132" s="31">
        <f>+T128-T130</f>
        <v>-2632574.6100085638</v>
      </c>
      <c r="U132" s="14"/>
      <c r="V132" s="33">
        <f>IF(T$12=0,0,T132/T$12)</f>
        <v>-0.68246836042136949</v>
      </c>
      <c r="W132" s="16"/>
      <c r="X132" s="31">
        <f>P132-T132</f>
        <v>-50265.14999143593</v>
      </c>
      <c r="Y132" s="16"/>
      <c r="Z132" s="33">
        <f>IF(T132=0,0,X132/T132)</f>
        <v>1.9093532924133311E-2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294</v>
      </c>
      <c r="C135" s="28"/>
      <c r="D135" s="34">
        <f>SUM(D132:D134)</f>
        <v>-291584.43000000005</v>
      </c>
      <c r="E135" s="14"/>
      <c r="F135" s="35">
        <f>IF(D$12=0,0,D135/D$12)</f>
        <v>-1.7860870721063966</v>
      </c>
      <c r="G135" s="14"/>
      <c r="H135" s="34">
        <f>SUM(H132:H134)</f>
        <v>-245353.47444554861</v>
      </c>
      <c r="I135" s="14"/>
      <c r="J135" s="35">
        <f>IF(H$12=0,0,H135/H$12)</f>
        <v>-0.47487646698759861</v>
      </c>
      <c r="K135" s="16"/>
      <c r="L135" s="34">
        <f>+D135-H135</f>
        <v>-46230.955554451444</v>
      </c>
      <c r="M135" s="16"/>
      <c r="N135" s="35">
        <f>IF(H135=0,0,L135/H135)</f>
        <v>0.1884259257339822</v>
      </c>
      <c r="O135" s="29"/>
      <c r="P135" s="34">
        <f>SUM(P132:P134)</f>
        <v>-2682839.7599999998</v>
      </c>
      <c r="Q135" s="14"/>
      <c r="R135" s="35">
        <f>IF(P$12=0,0,P135/P$12)</f>
        <v>-1.919088279764074</v>
      </c>
      <c r="S135" s="14"/>
      <c r="T135" s="34">
        <f>SUM(T132:T134)</f>
        <v>-2632574.6100085638</v>
      </c>
      <c r="U135" s="14"/>
      <c r="V135" s="35">
        <f>IF(T$12=0,0,T135/T$12)</f>
        <v>-0.68246836042136949</v>
      </c>
      <c r="W135" s="16"/>
      <c r="X135" s="34">
        <f>+P135-T135</f>
        <v>-50265.14999143593</v>
      </c>
      <c r="Y135" s="16"/>
      <c r="Z135" s="35">
        <f>IF(T135=0,0,X135/T135)</f>
        <v>1.9093532924133311E-2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2">
        <v>44330.005799502316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6" t="s">
        <v>56</v>
      </c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A139" s="9"/>
      <c r="B139" s="55"/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55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73139.31</v>
      </c>
      <c r="E12" s="4"/>
      <c r="F12" s="12"/>
      <c r="G12" s="4"/>
      <c r="H12" s="4">
        <f>SUM(OSRRefH13x_0)</f>
        <v>107062</v>
      </c>
      <c r="I12" s="4"/>
      <c r="J12" s="12"/>
      <c r="K12" s="4"/>
      <c r="L12" s="4">
        <f t="shared" ref="L12:L25" si="0">+D12-H12</f>
        <v>-33922.69</v>
      </c>
      <c r="M12" s="4"/>
      <c r="N12" s="12">
        <f t="shared" ref="N12:N25" si="1">IF(H12=0,0,L12/H12)</f>
        <v>-0.31685089013842449</v>
      </c>
      <c r="O12" s="10"/>
      <c r="P12" s="4">
        <f>SUM(OSRRefP13x_0)</f>
        <v>459493.23</v>
      </c>
      <c r="Q12" s="4"/>
      <c r="R12" s="12"/>
      <c r="S12" s="4"/>
      <c r="T12" s="4">
        <f>SUM(OSRRefT13x_0)</f>
        <v>762114</v>
      </c>
      <c r="U12" s="4"/>
      <c r="V12" s="12"/>
      <c r="W12" s="4"/>
      <c r="X12" s="4">
        <f t="shared" ref="X12:X25" si="2">+P12-T12</f>
        <v>-302620.77</v>
      </c>
      <c r="Y12" s="4"/>
      <c r="Z12" s="12">
        <f t="shared" ref="Z12:Z25" si="3">IF(T12=0,0,X12/T12)</f>
        <v>-0.3970807123343752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11719</v>
      </c>
      <c r="I13" s="2"/>
      <c r="J13" s="19"/>
      <c r="K13" s="2"/>
      <c r="L13" s="2">
        <f t="shared" si="0"/>
        <v>-11719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110153</v>
      </c>
      <c r="U13" s="2"/>
      <c r="V13" s="19"/>
      <c r="W13" s="2"/>
      <c r="X13" s="2">
        <f t="shared" si="2"/>
        <v>-110153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--6552.2</f>
        <v>6552.2</v>
      </c>
      <c r="E16" s="2"/>
      <c r="F16" s="19"/>
      <c r="G16" s="2"/>
      <c r="H16" s="2"/>
      <c r="I16" s="2"/>
      <c r="J16" s="19"/>
      <c r="K16" s="2"/>
      <c r="L16" s="2">
        <f t="shared" si="0"/>
        <v>6552.2</v>
      </c>
      <c r="M16" s="2"/>
      <c r="N16" s="19">
        <f t="shared" si="1"/>
        <v>0</v>
      </c>
      <c r="O16" s="11"/>
      <c r="P16" s="2">
        <f>--32121.26</f>
        <v>32121.26</v>
      </c>
      <c r="Q16" s="2"/>
      <c r="R16" s="19"/>
      <c r="S16" s="2"/>
      <c r="T16" s="2"/>
      <c r="U16" s="2"/>
      <c r="V16" s="19"/>
      <c r="W16" s="2"/>
      <c r="X16" s="2">
        <f t="shared" si="2"/>
        <v>32121.26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--48734.68</f>
        <v>48734.68</v>
      </c>
      <c r="E17" s="2"/>
      <c r="F17" s="19"/>
      <c r="G17" s="2"/>
      <c r="H17" s="2"/>
      <c r="I17" s="2"/>
      <c r="J17" s="19"/>
      <c r="K17" s="2"/>
      <c r="L17" s="2">
        <f t="shared" si="0"/>
        <v>48734.68</v>
      </c>
      <c r="M17" s="2"/>
      <c r="N17" s="19">
        <f t="shared" si="1"/>
        <v>0</v>
      </c>
      <c r="O17" s="11"/>
      <c r="P17" s="2">
        <f>--380674.79</f>
        <v>380674.79</v>
      </c>
      <c r="Q17" s="2"/>
      <c r="R17" s="19"/>
      <c r="S17" s="2"/>
      <c r="T17" s="2"/>
      <c r="U17" s="2"/>
      <c r="V17" s="19"/>
      <c r="W17" s="2"/>
      <c r="X17" s="2">
        <f t="shared" si="2"/>
        <v>380674.79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ref="D18:D22" si="5"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--974.91</f>
        <v>974.91</v>
      </c>
      <c r="Q18" s="2"/>
      <c r="R18" s="19"/>
      <c r="S18" s="2"/>
      <c r="T18" s="2"/>
      <c r="U18" s="2"/>
      <c r="V18" s="19"/>
      <c r="W18" s="2"/>
      <c r="X18" s="2">
        <f t="shared" si="2"/>
        <v>974.91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95343</v>
      </c>
      <c r="I19" s="2"/>
      <c r="J19" s="19"/>
      <c r="K19" s="2"/>
      <c r="L19" s="2">
        <f t="shared" si="0"/>
        <v>-95343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651961</v>
      </c>
      <c r="U19" s="2"/>
      <c r="V19" s="19"/>
      <c r="W19" s="2"/>
      <c r="X19" s="2">
        <f t="shared" si="2"/>
        <v>-651961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--2031.88</f>
        <v>2031.88</v>
      </c>
      <c r="Q20" s="2"/>
      <c r="R20" s="19"/>
      <c r="S20" s="2"/>
      <c r="T20" s="2"/>
      <c r="U20" s="2"/>
      <c r="V20" s="19"/>
      <c r="W20" s="2"/>
      <c r="X20" s="2">
        <f t="shared" si="2"/>
        <v>2031.88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6">0</f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6"/>
        <v>0</v>
      </c>
      <c r="Q22" s="2"/>
      <c r="R22" s="19"/>
      <c r="S22" s="2"/>
      <c r="T22" s="2"/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--6219.58</f>
        <v>6219.58</v>
      </c>
      <c r="E23" s="2"/>
      <c r="F23" s="19"/>
      <c r="G23" s="2"/>
      <c r="H23" s="2"/>
      <c r="I23" s="2"/>
      <c r="J23" s="19"/>
      <c r="K23" s="2"/>
      <c r="L23" s="2">
        <f t="shared" si="0"/>
        <v>6219.58</v>
      </c>
      <c r="M23" s="2"/>
      <c r="N23" s="19">
        <f t="shared" si="1"/>
        <v>0</v>
      </c>
      <c r="O23" s="11"/>
      <c r="P23" s="2">
        <f>--31268.4</f>
        <v>31268.400000000001</v>
      </c>
      <c r="Q23" s="2"/>
      <c r="R23" s="19"/>
      <c r="S23" s="2"/>
      <c r="T23" s="2"/>
      <c r="U23" s="2"/>
      <c r="V23" s="19"/>
      <c r="W23" s="2"/>
      <c r="X23" s="2">
        <f t="shared" si="2"/>
        <v>31268.400000000001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>--11580.95</f>
        <v>11580.95</v>
      </c>
      <c r="E24" s="2"/>
      <c r="F24" s="19"/>
      <c r="G24" s="2"/>
      <c r="H24" s="2"/>
      <c r="I24" s="2"/>
      <c r="J24" s="19"/>
      <c r="K24" s="2"/>
      <c r="L24" s="2">
        <f t="shared" si="0"/>
        <v>11580.95</v>
      </c>
      <c r="M24" s="2"/>
      <c r="N24" s="19">
        <f t="shared" si="1"/>
        <v>0</v>
      </c>
      <c r="O24" s="11"/>
      <c r="P24" s="2">
        <f>--11580.95</f>
        <v>11580.95</v>
      </c>
      <c r="Q24" s="2"/>
      <c r="R24" s="19"/>
      <c r="S24" s="2"/>
      <c r="T24" s="2"/>
      <c r="U24" s="2"/>
      <c r="V24" s="19"/>
      <c r="W24" s="2"/>
      <c r="X24" s="2">
        <f t="shared" si="2"/>
        <v>11580.95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--51.9</f>
        <v>51.9</v>
      </c>
      <c r="E25" s="2"/>
      <c r="F25" s="19"/>
      <c r="G25" s="2"/>
      <c r="H25" s="2"/>
      <c r="I25" s="2"/>
      <c r="J25" s="19"/>
      <c r="K25" s="2"/>
      <c r="L25" s="2">
        <f t="shared" si="0"/>
        <v>51.9</v>
      </c>
      <c r="M25" s="2"/>
      <c r="N25" s="19">
        <f t="shared" si="1"/>
        <v>0</v>
      </c>
      <c r="O25" s="11"/>
      <c r="P25" s="2">
        <f>--396.45</f>
        <v>396.45</v>
      </c>
      <c r="Q25" s="2"/>
      <c r="R25" s="19"/>
      <c r="S25" s="2"/>
      <c r="T25" s="2"/>
      <c r="U25" s="2"/>
      <c r="V25" s="19"/>
      <c r="W25" s="2"/>
      <c r="X25" s="2">
        <f t="shared" si="2"/>
        <v>396.45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9" t="s">
        <v>257</v>
      </c>
      <c r="C27" s="10"/>
      <c r="D27" s="4">
        <f>SUM(OSRRefD16x_0)</f>
        <v>4076.83</v>
      </c>
      <c r="E27" s="4"/>
      <c r="F27" s="12">
        <f t="shared" ref="F27:F30" si="7">IF(D$12=0,0,D27/D$12)</f>
        <v>5.5740613358261103E-2</v>
      </c>
      <c r="G27" s="4"/>
      <c r="H27" s="4">
        <f>SUM(OSRRefH16x_0)</f>
        <v>48792</v>
      </c>
      <c r="I27" s="4"/>
      <c r="J27" s="12">
        <f t="shared" ref="J27:J30" si="8">IF(H$12=0,0,H27/H$12)</f>
        <v>0.45573592871420299</v>
      </c>
      <c r="K27" s="4"/>
      <c r="L27" s="4">
        <f t="shared" ref="L27:L30" si="9">+D27-H27</f>
        <v>-44715.17</v>
      </c>
      <c r="M27" s="4"/>
      <c r="N27" s="12">
        <f t="shared" ref="N27:N30" si="10">IF(H27=0,0,L27/H27)</f>
        <v>-0.91644470404984424</v>
      </c>
      <c r="O27" s="10"/>
      <c r="P27" s="4">
        <f>SUM(OSRRefP16x_0)</f>
        <v>41940.14</v>
      </c>
      <c r="Q27" s="4"/>
      <c r="R27" s="12">
        <f t="shared" ref="R27:R30" si="11">IF(P$12=0,0,P27/P$12)</f>
        <v>9.1274772427006157E-2</v>
      </c>
      <c r="S27" s="4"/>
      <c r="T27" s="4">
        <f>SUM(OSRRefT16x_0)</f>
        <v>323339</v>
      </c>
      <c r="U27" s="4"/>
      <c r="V27" s="12">
        <f t="shared" ref="V27:V30" si="12">IF(T$12=0,0,T27/T$12)</f>
        <v>0.42426592347076686</v>
      </c>
      <c r="W27" s="4"/>
      <c r="X27" s="4">
        <f t="shared" ref="X27:X30" si="13">+P27-T27</f>
        <v>-281398.86</v>
      </c>
      <c r="Y27" s="4"/>
      <c r="Z27" s="12">
        <f t="shared" ref="Z27:Z30" si="14">IF(T27=0,0,X27/T27)</f>
        <v>-0.87029050006340092</v>
      </c>
    </row>
    <row r="28" spans="1:26" s="24" customFormat="1" hidden="1" outlineLevel="1" x14ac:dyDescent="0.25">
      <c r="A28" s="44"/>
      <c r="B28" s="11" t="str">
        <f>CONCATENATE("          ", "5000", " - ", "PURCHASES @ COST")</f>
        <v xml:space="preserve">          5000 - PURCHASES @ COST</v>
      </c>
      <c r="C28" s="11"/>
      <c r="D28" s="2"/>
      <c r="E28" s="2"/>
      <c r="F28" s="19">
        <f t="shared" si="7"/>
        <v>0</v>
      </c>
      <c r="G28" s="2"/>
      <c r="H28" s="2">
        <v>48792</v>
      </c>
      <c r="I28" s="2"/>
      <c r="J28" s="19">
        <f t="shared" si="8"/>
        <v>0.45573592871420299</v>
      </c>
      <c r="K28" s="2"/>
      <c r="L28" s="2">
        <f t="shared" si="9"/>
        <v>-48792</v>
      </c>
      <c r="M28" s="2"/>
      <c r="N28" s="19">
        <f t="shared" si="10"/>
        <v>-1</v>
      </c>
      <c r="O28" s="11"/>
      <c r="P28" s="2"/>
      <c r="Q28" s="2"/>
      <c r="R28" s="19">
        <f t="shared" si="11"/>
        <v>0</v>
      </c>
      <c r="S28" s="2"/>
      <c r="T28" s="2">
        <v>323339</v>
      </c>
      <c r="U28" s="2"/>
      <c r="V28" s="19">
        <f t="shared" si="12"/>
        <v>0.42426592347076686</v>
      </c>
      <c r="W28" s="2"/>
      <c r="X28" s="2">
        <f t="shared" si="13"/>
        <v>-323339</v>
      </c>
      <c r="Y28" s="2"/>
      <c r="Z28" s="19">
        <f t="shared" si="14"/>
        <v>-1</v>
      </c>
    </row>
    <row r="29" spans="1:26" s="24" customFormat="1" hidden="1" outlineLevel="1" x14ac:dyDescent="0.25">
      <c r="A29" s="44"/>
      <c r="B29" s="11" t="str">
        <f>CONCATENATE("          ", "5053", " - ", "PURCHASES @ COST-FOOD")</f>
        <v xml:space="preserve">          5053 - PURCHASES @ COST-FOOD</v>
      </c>
      <c r="C29" s="11"/>
      <c r="D29" s="2">
        <v>3918.82</v>
      </c>
      <c r="E29" s="2"/>
      <c r="F29" s="19">
        <f t="shared" si="7"/>
        <v>5.3580215618659791E-2</v>
      </c>
      <c r="G29" s="2"/>
      <c r="H29" s="2"/>
      <c r="I29" s="2"/>
      <c r="J29" s="19">
        <f t="shared" si="8"/>
        <v>0</v>
      </c>
      <c r="K29" s="2"/>
      <c r="L29" s="2">
        <f t="shared" si="9"/>
        <v>3918.82</v>
      </c>
      <c r="M29" s="2"/>
      <c r="N29" s="19">
        <f t="shared" si="10"/>
        <v>0</v>
      </c>
      <c r="O29" s="11"/>
      <c r="P29" s="2">
        <v>5666.14</v>
      </c>
      <c r="Q29" s="2"/>
      <c r="R29" s="19">
        <f t="shared" si="11"/>
        <v>1.2331280702438207E-2</v>
      </c>
      <c r="S29" s="2"/>
      <c r="T29" s="2"/>
      <c r="U29" s="2"/>
      <c r="V29" s="19">
        <f t="shared" si="12"/>
        <v>0</v>
      </c>
      <c r="W29" s="2"/>
      <c r="X29" s="2">
        <f t="shared" si="13"/>
        <v>5666.14</v>
      </c>
      <c r="Y29" s="2"/>
      <c r="Z29" s="19">
        <f t="shared" si="14"/>
        <v>0</v>
      </c>
    </row>
    <row r="30" spans="1:26" s="24" customFormat="1" hidden="1" outlineLevel="1" x14ac:dyDescent="0.25">
      <c r="A30" s="44"/>
      <c r="B30" s="11" t="str">
        <f>CONCATENATE("          ", "5059", " - ", "PURCHASES @ COST-FOOD")</f>
        <v xml:space="preserve">          5059 - PURCHASES @ COST-FOOD</v>
      </c>
      <c r="C30" s="11"/>
      <c r="D30" s="2">
        <v>158.01</v>
      </c>
      <c r="E30" s="2"/>
      <c r="F30" s="19">
        <f t="shared" si="7"/>
        <v>2.1603977396013169E-3</v>
      </c>
      <c r="G30" s="2"/>
      <c r="H30" s="2"/>
      <c r="I30" s="2"/>
      <c r="J30" s="19">
        <f t="shared" si="8"/>
        <v>0</v>
      </c>
      <c r="K30" s="2"/>
      <c r="L30" s="2">
        <f t="shared" si="9"/>
        <v>158.01</v>
      </c>
      <c r="M30" s="2"/>
      <c r="N30" s="19">
        <f t="shared" si="10"/>
        <v>0</v>
      </c>
      <c r="O30" s="11"/>
      <c r="P30" s="2">
        <v>36274</v>
      </c>
      <c r="Q30" s="2"/>
      <c r="R30" s="19">
        <f t="shared" si="11"/>
        <v>7.8943491724567952E-2</v>
      </c>
      <c r="S30" s="2"/>
      <c r="T30" s="2"/>
      <c r="U30" s="2"/>
      <c r="V30" s="19">
        <f t="shared" si="12"/>
        <v>0</v>
      </c>
      <c r="W30" s="2"/>
      <c r="X30" s="2">
        <f t="shared" si="13"/>
        <v>36274</v>
      </c>
      <c r="Y30" s="2"/>
      <c r="Z30" s="19">
        <f t="shared" si="14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108</v>
      </c>
      <c r="C32" s="28"/>
      <c r="D32" s="21">
        <f>D12-D27</f>
        <v>69062.48</v>
      </c>
      <c r="E32" s="14"/>
      <c r="F32" s="20">
        <f>IF(D$12=0,0,D32/D$12)</f>
        <v>0.94425938664173892</v>
      </c>
      <c r="G32" s="14"/>
      <c r="H32" s="21">
        <f>H12-H27</f>
        <v>58270</v>
      </c>
      <c r="I32" s="14"/>
      <c r="J32" s="20">
        <f>IF(H$12=0,0,H32/H$12)</f>
        <v>0.54426407128579701</v>
      </c>
      <c r="K32" s="16"/>
      <c r="L32" s="21">
        <f>+D32-H32</f>
        <v>10792.479999999996</v>
      </c>
      <c r="M32" s="16"/>
      <c r="N32" s="20">
        <f>IF(H32=0,0,L32/H32)</f>
        <v>0.18521503346490467</v>
      </c>
      <c r="O32" s="29"/>
      <c r="P32" s="21">
        <f>P12-P27</f>
        <v>417553.08999999997</v>
      </c>
      <c r="Q32" s="14"/>
      <c r="R32" s="20">
        <f>IF(P$12=0,0,P32/P$12)</f>
        <v>0.90872522757299379</v>
      </c>
      <c r="S32" s="14"/>
      <c r="T32" s="21">
        <f>T12-T27</f>
        <v>438775</v>
      </c>
      <c r="U32" s="14"/>
      <c r="V32" s="20">
        <f>IF(T$12=0,0,T32/T$12)</f>
        <v>0.57573407652923314</v>
      </c>
      <c r="W32" s="16"/>
      <c r="X32" s="21">
        <f>+P32-T32</f>
        <v>-21221.910000000033</v>
      </c>
      <c r="Y32" s="16"/>
      <c r="Z32" s="20">
        <f>IF(T32=0,0,X32/T32)</f>
        <v>-4.8366269728220689E-2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9" t="s">
        <v>295</v>
      </c>
      <c r="C34" s="10"/>
      <c r="D34" s="22">
        <f>SUM(OSRRefD22x_0)</f>
        <v>137230.85000000006</v>
      </c>
      <c r="E34" s="22"/>
      <c r="F34" s="32">
        <f t="shared" ref="F34:F44" si="15">IF(D$12=0,0,D34/D$12)</f>
        <v>1.8762940202744607</v>
      </c>
      <c r="G34" s="22"/>
      <c r="H34" s="22">
        <f>SUM(OSRRefH22x_0)</f>
        <v>187370.12182189102</v>
      </c>
      <c r="I34" s="22"/>
      <c r="J34" s="32">
        <f t="shared" ref="J34:J44" si="16">IF(H$12=0,0,H34/H$12)</f>
        <v>1.7501085522584205</v>
      </c>
      <c r="K34" s="4"/>
      <c r="L34" s="22">
        <f t="shared" ref="L34:L44" si="17">+D34-H34</f>
        <v>-50139.271821890958</v>
      </c>
      <c r="M34" s="4"/>
      <c r="N34" s="32">
        <f t="shared" ref="N34:N44" si="18">IF(H34=0,0,L34/H34)</f>
        <v>-0.2675948082563131</v>
      </c>
      <c r="O34" s="10"/>
      <c r="P34" s="22">
        <f>SUM(OSRRefP22x_0)</f>
        <v>1347146.7900000003</v>
      </c>
      <c r="Q34" s="22"/>
      <c r="R34" s="32">
        <f t="shared" ref="R34:R44" si="19">IF(P$12=0,0,P34/P$12)</f>
        <v>2.931809876720056</v>
      </c>
      <c r="S34" s="22"/>
      <c r="T34" s="22">
        <f>SUM(OSRRefT22x_0)</f>
        <v>1677115.961207926</v>
      </c>
      <c r="U34" s="22"/>
      <c r="V34" s="32">
        <f t="shared" ref="V34:V44" si="20">IF(T$12=0,0,T34/T$12)</f>
        <v>2.2006103564662585</v>
      </c>
      <c r="W34" s="4"/>
      <c r="X34" s="22">
        <f t="shared" ref="X34:X44" si="21">+P34-T34</f>
        <v>-329969.17120792577</v>
      </c>
      <c r="Y34" s="4"/>
      <c r="Z34" s="32">
        <f t="shared" ref="Z34:Z44" si="22">IF(T34=0,0,X34/T34)</f>
        <v>-0.19674797619257572</v>
      </c>
    </row>
    <row r="35" spans="1:26" s="25" customFormat="1" outlineLevel="1" collapsed="1" x14ac:dyDescent="0.25">
      <c r="A35" s="27"/>
      <c r="B35" s="13" t="str">
        <f>CONCATENATE("     ","*Benefits                                         ")</f>
        <v xml:space="preserve">     *Benefits                                         </v>
      </c>
      <c r="C35" s="13"/>
      <c r="D35" s="1">
        <f>SUM(OSRRefD22_0x_0)</f>
        <v>22024.969999999998</v>
      </c>
      <c r="E35" s="1"/>
      <c r="F35" s="5">
        <f t="shared" si="15"/>
        <v>0.30113724069860653</v>
      </c>
      <c r="G35" s="1"/>
      <c r="H35" s="1">
        <f>SUM(OSRRefH22_0x_0)</f>
        <v>24755.240373173077</v>
      </c>
      <c r="I35" s="1"/>
      <c r="J35" s="5">
        <f t="shared" si="16"/>
        <v>0.23122340674724065</v>
      </c>
      <c r="K35" s="1"/>
      <c r="L35" s="1">
        <f t="shared" si="17"/>
        <v>-2730.2703731730799</v>
      </c>
      <c r="M35" s="1"/>
      <c r="N35" s="5">
        <f t="shared" si="18"/>
        <v>-0.11029060239430506</v>
      </c>
      <c r="O35" s="13"/>
      <c r="P35" s="1">
        <f>SUM(OSRRefP22_0x_0)</f>
        <v>243866.19999999998</v>
      </c>
      <c r="Q35" s="1"/>
      <c r="R35" s="5">
        <f t="shared" si="19"/>
        <v>0.53072860290019941</v>
      </c>
      <c r="S35" s="1"/>
      <c r="T35" s="1">
        <f>SUM(OSRRefT22_0x_0)</f>
        <v>218287.8360592078</v>
      </c>
      <c r="U35" s="1"/>
      <c r="V35" s="5">
        <f t="shared" si="20"/>
        <v>0.28642412560221669</v>
      </c>
      <c r="W35" s="1"/>
      <c r="X35" s="1">
        <f t="shared" si="21"/>
        <v>25578.363940792187</v>
      </c>
      <c r="Y35" s="1"/>
      <c r="Z35" s="5">
        <f t="shared" si="22"/>
        <v>0.11717722985652018</v>
      </c>
    </row>
    <row r="36" spans="1:26" s="24" customFormat="1" hidden="1" outlineLevel="2" x14ac:dyDescent="0.25">
      <c r="A36" s="26"/>
      <c r="B36" s="11" t="str">
        <f>CONCATENATE("          ", "6111", " - ", "F.I.C.A.")</f>
        <v xml:space="preserve">          6111 - F.I.C.A.</v>
      </c>
      <c r="C36" s="11"/>
      <c r="D36" s="7">
        <v>3515.25</v>
      </c>
      <c r="E36" s="2"/>
      <c r="F36" s="6">
        <f t="shared" si="15"/>
        <v>4.806238943189374E-2</v>
      </c>
      <c r="G36" s="2"/>
      <c r="H36" s="7">
        <v>3362.5455582115401</v>
      </c>
      <c r="I36" s="2"/>
      <c r="J36" s="6">
        <f t="shared" si="16"/>
        <v>3.1407460706987918E-2</v>
      </c>
      <c r="K36" s="2"/>
      <c r="L36" s="7">
        <f t="shared" si="17"/>
        <v>152.70444178845992</v>
      </c>
      <c r="M36" s="2"/>
      <c r="N36" s="6">
        <f t="shared" si="18"/>
        <v>4.5413345081837302E-2</v>
      </c>
      <c r="O36" s="11"/>
      <c r="P36" s="7">
        <v>29494.97</v>
      </c>
      <c r="Q36" s="2"/>
      <c r="R36" s="6">
        <f t="shared" si="19"/>
        <v>6.4190216687196905E-2</v>
      </c>
      <c r="S36" s="2"/>
      <c r="T36" s="7">
        <v>27771.877450361499</v>
      </c>
      <c r="U36" s="2"/>
      <c r="V36" s="6">
        <f t="shared" si="20"/>
        <v>3.6440581658861403E-2</v>
      </c>
      <c r="W36" s="2"/>
      <c r="X36" s="7">
        <f t="shared" si="21"/>
        <v>1723.0925496385025</v>
      </c>
      <c r="Y36" s="2"/>
      <c r="Z36" s="6">
        <f t="shared" si="22"/>
        <v>6.2044510772391932E-2</v>
      </c>
    </row>
    <row r="37" spans="1:26" s="24" customFormat="1" hidden="1" outlineLevel="2" x14ac:dyDescent="0.25">
      <c r="A37" s="26"/>
      <c r="B37" s="11" t="str">
        <f>CONCATENATE("          ", "6112", " - ", "COMPENSATION INSURANCE")</f>
        <v xml:space="preserve">          6112 - COMPENSATION INSURANCE</v>
      </c>
      <c r="C37" s="11"/>
      <c r="D37" s="7">
        <v>611.07000000000005</v>
      </c>
      <c r="E37" s="2"/>
      <c r="F37" s="6">
        <f t="shared" si="15"/>
        <v>8.3548778351887655E-3</v>
      </c>
      <c r="G37" s="2"/>
      <c r="H37" s="7">
        <v>1698.4230844230799</v>
      </c>
      <c r="I37" s="2"/>
      <c r="J37" s="6">
        <f t="shared" si="16"/>
        <v>1.5863920760149072E-2</v>
      </c>
      <c r="K37" s="2"/>
      <c r="L37" s="7">
        <f t="shared" si="17"/>
        <v>-1087.35308442308</v>
      </c>
      <c r="M37" s="2"/>
      <c r="N37" s="6">
        <f t="shared" si="18"/>
        <v>-0.64021332163677691</v>
      </c>
      <c r="O37" s="11"/>
      <c r="P37" s="7">
        <v>7845.21</v>
      </c>
      <c r="Q37" s="2"/>
      <c r="R37" s="6">
        <f t="shared" si="19"/>
        <v>1.707361390286425E-2</v>
      </c>
      <c r="S37" s="2"/>
      <c r="T37" s="7">
        <v>11609.5006379231</v>
      </c>
      <c r="U37" s="2"/>
      <c r="V37" s="6">
        <f t="shared" si="20"/>
        <v>1.5233286146066205E-2</v>
      </c>
      <c r="W37" s="2"/>
      <c r="X37" s="7">
        <f t="shared" si="21"/>
        <v>-3764.2906379230999</v>
      </c>
      <c r="Y37" s="2"/>
      <c r="Z37" s="6">
        <f t="shared" si="22"/>
        <v>-0.32424225255880762</v>
      </c>
    </row>
    <row r="38" spans="1:26" s="24" customFormat="1" hidden="1" outlineLevel="2" x14ac:dyDescent="0.25">
      <c r="A38" s="26"/>
      <c r="B38" s="11" t="str">
        <f>CONCATENATE("          ", "6113", " - ", "GROUP INSURANCE")</f>
        <v xml:space="preserve">          6113 - GROUP INSURANCE</v>
      </c>
      <c r="C38" s="11"/>
      <c r="D38" s="7">
        <v>8554.93</v>
      </c>
      <c r="E38" s="2"/>
      <c r="F38" s="6">
        <f t="shared" si="15"/>
        <v>0.11696760606573949</v>
      </c>
      <c r="G38" s="2"/>
      <c r="H38" s="7">
        <v>11997.692307692299</v>
      </c>
      <c r="I38" s="2"/>
      <c r="J38" s="6">
        <f t="shared" si="16"/>
        <v>0.11206303177310623</v>
      </c>
      <c r="K38" s="2"/>
      <c r="L38" s="7">
        <f t="shared" si="17"/>
        <v>-3442.7623076922991</v>
      </c>
      <c r="M38" s="2"/>
      <c r="N38" s="6">
        <f t="shared" si="18"/>
        <v>-0.28695204205936986</v>
      </c>
      <c r="O38" s="11"/>
      <c r="P38" s="7">
        <v>113219.29</v>
      </c>
      <c r="Q38" s="2"/>
      <c r="R38" s="6">
        <f t="shared" si="19"/>
        <v>0.24640034413564699</v>
      </c>
      <c r="S38" s="2"/>
      <c r="T38" s="7">
        <v>114072.57692307699</v>
      </c>
      <c r="U38" s="2"/>
      <c r="V38" s="6">
        <f t="shared" si="20"/>
        <v>0.1496791515745374</v>
      </c>
      <c r="W38" s="2"/>
      <c r="X38" s="7">
        <f t="shared" si="21"/>
        <v>-853.28692307700112</v>
      </c>
      <c r="Y38" s="2"/>
      <c r="Z38" s="6">
        <f t="shared" si="22"/>
        <v>-7.4802108104597429E-3</v>
      </c>
    </row>
    <row r="39" spans="1:26" s="24" customFormat="1" hidden="1" outlineLevel="2" x14ac:dyDescent="0.25">
      <c r="A39" s="26"/>
      <c r="B39" s="11" t="str">
        <f>CONCATENATE("          ", "6114", " - ", "STATE UNEMPLOYMENT INSURANCE")</f>
        <v xml:space="preserve">          6114 - STATE UNEMPLOYMENT INSURANCE</v>
      </c>
      <c r="C39" s="11"/>
      <c r="D39" s="7">
        <v>78.72</v>
      </c>
      <c r="E39" s="2"/>
      <c r="F39" s="6">
        <f t="shared" si="15"/>
        <v>1.0763021964522224E-3</v>
      </c>
      <c r="G39" s="2"/>
      <c r="H39" s="7">
        <v>195.52091899999999</v>
      </c>
      <c r="I39" s="2"/>
      <c r="J39" s="6">
        <f t="shared" si="16"/>
        <v>1.8262401132054322E-3</v>
      </c>
      <c r="K39" s="2"/>
      <c r="L39" s="7">
        <f t="shared" si="17"/>
        <v>-116.80091899999999</v>
      </c>
      <c r="M39" s="2"/>
      <c r="N39" s="6">
        <f t="shared" si="18"/>
        <v>-0.59738323447630681</v>
      </c>
      <c r="O39" s="11"/>
      <c r="P39" s="7">
        <v>1044.1199999999999</v>
      </c>
      <c r="Q39" s="2"/>
      <c r="R39" s="6">
        <f t="shared" si="19"/>
        <v>2.2723294530367726E-3</v>
      </c>
      <c r="S39" s="2"/>
      <c r="T39" s="7">
        <v>1378.391114</v>
      </c>
      <c r="U39" s="2"/>
      <c r="V39" s="6">
        <f t="shared" si="20"/>
        <v>1.8086416389149131E-3</v>
      </c>
      <c r="W39" s="2"/>
      <c r="X39" s="7">
        <f t="shared" si="21"/>
        <v>-334.27111400000013</v>
      </c>
      <c r="Y39" s="2"/>
      <c r="Z39" s="6">
        <f t="shared" si="22"/>
        <v>-0.24250817536828675</v>
      </c>
    </row>
    <row r="40" spans="1:26" s="24" customFormat="1" hidden="1" outlineLevel="2" x14ac:dyDescent="0.25">
      <c r="A40" s="26"/>
      <c r="B40" s="11" t="str">
        <f>CONCATENATE("          ", "6115", " - ", "P.E.R.S.")</f>
        <v xml:space="preserve">          6115 - P.E.R.S.</v>
      </c>
      <c r="C40" s="11"/>
      <c r="D40" s="7">
        <v>2720.89</v>
      </c>
      <c r="E40" s="2"/>
      <c r="F40" s="6">
        <f t="shared" si="15"/>
        <v>3.7201472094828346E-2</v>
      </c>
      <c r="G40" s="2"/>
      <c r="H40" s="7">
        <v>2813.9856576923098</v>
      </c>
      <c r="I40" s="2"/>
      <c r="J40" s="6">
        <f t="shared" si="16"/>
        <v>2.6283701571914498E-2</v>
      </c>
      <c r="K40" s="2"/>
      <c r="L40" s="7">
        <f t="shared" si="17"/>
        <v>-93.095657692309942</v>
      </c>
      <c r="M40" s="2"/>
      <c r="N40" s="6">
        <f t="shared" si="18"/>
        <v>-3.308320262323431E-2</v>
      </c>
      <c r="O40" s="11"/>
      <c r="P40" s="7">
        <v>37956.480000000003</v>
      </c>
      <c r="Q40" s="2"/>
      <c r="R40" s="6">
        <f t="shared" si="19"/>
        <v>8.2605090830173936E-2</v>
      </c>
      <c r="S40" s="2"/>
      <c r="T40" s="7">
        <v>24577.038587692299</v>
      </c>
      <c r="U40" s="2"/>
      <c r="V40" s="6">
        <f t="shared" si="20"/>
        <v>3.2248506900138689E-2</v>
      </c>
      <c r="W40" s="2"/>
      <c r="X40" s="7">
        <f t="shared" si="21"/>
        <v>13379.441412307704</v>
      </c>
      <c r="Y40" s="2"/>
      <c r="Z40" s="6">
        <f t="shared" si="22"/>
        <v>0.54438785879629403</v>
      </c>
    </row>
    <row r="41" spans="1:26" s="24" customFormat="1" hidden="1" outlineLevel="2" x14ac:dyDescent="0.25">
      <c r="A41" s="26"/>
      <c r="B41" s="11" t="str">
        <f>CONCATENATE("          ", "6116", " - ", "EDUCATIONAL BENEFITS")</f>
        <v xml:space="preserve">          6116 - EDUCATIONAL BENEFITS</v>
      </c>
      <c r="C41" s="11"/>
      <c r="D41" s="7"/>
      <c r="E41" s="2"/>
      <c r="F41" s="6">
        <f t="shared" si="15"/>
        <v>0</v>
      </c>
      <c r="G41" s="2"/>
      <c r="H41" s="7">
        <v>0</v>
      </c>
      <c r="I41" s="2"/>
      <c r="J41" s="6">
        <f t="shared" si="16"/>
        <v>0</v>
      </c>
      <c r="K41" s="2"/>
      <c r="L41" s="7">
        <f t="shared" si="17"/>
        <v>0</v>
      </c>
      <c r="M41" s="2"/>
      <c r="N41" s="6">
        <f t="shared" si="18"/>
        <v>0</v>
      </c>
      <c r="O41" s="11"/>
      <c r="P41" s="7"/>
      <c r="Q41" s="2"/>
      <c r="R41" s="6">
        <f t="shared" si="19"/>
        <v>0</v>
      </c>
      <c r="S41" s="2"/>
      <c r="T41" s="7">
        <v>0</v>
      </c>
      <c r="U41" s="2"/>
      <c r="V41" s="6">
        <f t="shared" si="20"/>
        <v>0</v>
      </c>
      <c r="W41" s="2"/>
      <c r="X41" s="7">
        <f t="shared" si="21"/>
        <v>0</v>
      </c>
      <c r="Y41" s="2"/>
      <c r="Z41" s="6">
        <f t="shared" si="22"/>
        <v>0</v>
      </c>
    </row>
    <row r="42" spans="1:26" s="24" customFormat="1" hidden="1" outlineLevel="2" x14ac:dyDescent="0.25">
      <c r="A42" s="26"/>
      <c r="B42" s="11" t="str">
        <f>CONCATENATE("          ", "6118", " - ", "VACATION")</f>
        <v xml:space="preserve">          6118 - VACATION</v>
      </c>
      <c r="C42" s="11"/>
      <c r="D42" s="7">
        <v>3694.38</v>
      </c>
      <c r="E42" s="2"/>
      <c r="F42" s="6">
        <f t="shared" si="15"/>
        <v>5.0511551175421263E-2</v>
      </c>
      <c r="G42" s="2"/>
      <c r="H42" s="7">
        <v>2394.71509615385</v>
      </c>
      <c r="I42" s="2"/>
      <c r="J42" s="6">
        <f t="shared" si="16"/>
        <v>2.2367554278398032E-2</v>
      </c>
      <c r="K42" s="2"/>
      <c r="L42" s="7">
        <f t="shared" si="17"/>
        <v>1299.6649038461501</v>
      </c>
      <c r="M42" s="2"/>
      <c r="N42" s="6">
        <f t="shared" si="18"/>
        <v>0.54272214090667437</v>
      </c>
      <c r="O42" s="11"/>
      <c r="P42" s="7">
        <v>30515.3</v>
      </c>
      <c r="Q42" s="2"/>
      <c r="R42" s="6">
        <f t="shared" si="19"/>
        <v>6.6410771710390601E-2</v>
      </c>
      <c r="S42" s="2"/>
      <c r="T42" s="7">
        <v>20853.062846153902</v>
      </c>
      <c r="U42" s="2"/>
      <c r="V42" s="6">
        <f t="shared" si="20"/>
        <v>2.7362130660444371E-2</v>
      </c>
      <c r="W42" s="2"/>
      <c r="X42" s="7">
        <f t="shared" si="21"/>
        <v>9662.2371538460975</v>
      </c>
      <c r="Y42" s="2"/>
      <c r="Z42" s="6">
        <f t="shared" si="22"/>
        <v>0.46334858457630274</v>
      </c>
    </row>
    <row r="43" spans="1:26" s="24" customFormat="1" hidden="1" outlineLevel="2" x14ac:dyDescent="0.25">
      <c r="A43" s="26"/>
      <c r="B43" s="11" t="str">
        <f>CONCATENATE("          ", "6119", " - ", "SICK LEAVE")</f>
        <v xml:space="preserve">          6119 - SICK LEAVE</v>
      </c>
      <c r="C43" s="11"/>
      <c r="D43" s="7">
        <v>2074.29</v>
      </c>
      <c r="E43" s="2"/>
      <c r="F43" s="6">
        <f t="shared" si="15"/>
        <v>2.8360808982201228E-2</v>
      </c>
      <c r="G43" s="2"/>
      <c r="H43" s="7">
        <v>1767.3577499999999</v>
      </c>
      <c r="I43" s="2"/>
      <c r="J43" s="6">
        <f t="shared" si="16"/>
        <v>1.6507796884048496E-2</v>
      </c>
      <c r="K43" s="2"/>
      <c r="L43" s="7">
        <f t="shared" si="17"/>
        <v>306.93225000000007</v>
      </c>
      <c r="M43" s="2"/>
      <c r="N43" s="6">
        <f t="shared" si="18"/>
        <v>0.17366730080539725</v>
      </c>
      <c r="O43" s="11"/>
      <c r="P43" s="7">
        <v>18029.61</v>
      </c>
      <c r="Q43" s="2"/>
      <c r="R43" s="6">
        <f t="shared" si="19"/>
        <v>3.9238031863929747E-2</v>
      </c>
      <c r="S43" s="2"/>
      <c r="T43" s="7">
        <v>12775.388499999999</v>
      </c>
      <c r="U43" s="2"/>
      <c r="V43" s="6">
        <f t="shared" si="20"/>
        <v>1.6763093841603748E-2</v>
      </c>
      <c r="W43" s="2"/>
      <c r="X43" s="7">
        <f t="shared" si="21"/>
        <v>5254.2215000000015</v>
      </c>
      <c r="Y43" s="2"/>
      <c r="Z43" s="6">
        <f t="shared" si="22"/>
        <v>0.41127684688414773</v>
      </c>
    </row>
    <row r="44" spans="1:26" s="24" customFormat="1" hidden="1" outlineLevel="2" x14ac:dyDescent="0.25">
      <c r="A44" s="26"/>
      <c r="B44" s="11" t="str">
        <f>CONCATENATE("          ", "6156", " - ", "EMPLOYEE MEALS")</f>
        <v xml:space="preserve">          6156 - EMPLOYEE MEALS</v>
      </c>
      <c r="C44" s="11"/>
      <c r="D44" s="7">
        <v>775.44</v>
      </c>
      <c r="E44" s="2"/>
      <c r="F44" s="6">
        <f t="shared" si="15"/>
        <v>1.0602232916881497E-2</v>
      </c>
      <c r="G44" s="2"/>
      <c r="H44" s="7">
        <v>525</v>
      </c>
      <c r="I44" s="2"/>
      <c r="J44" s="6">
        <f t="shared" si="16"/>
        <v>4.9037006594309842E-3</v>
      </c>
      <c r="K44" s="2"/>
      <c r="L44" s="7">
        <f t="shared" si="17"/>
        <v>250.44000000000005</v>
      </c>
      <c r="M44" s="2"/>
      <c r="N44" s="6">
        <f t="shared" si="18"/>
        <v>0.47702857142857152</v>
      </c>
      <c r="O44" s="11"/>
      <c r="P44" s="7">
        <v>5761.22</v>
      </c>
      <c r="Q44" s="2"/>
      <c r="R44" s="6">
        <f t="shared" si="19"/>
        <v>1.2538204316960231E-2</v>
      </c>
      <c r="S44" s="2"/>
      <c r="T44" s="7">
        <v>5250</v>
      </c>
      <c r="U44" s="2"/>
      <c r="V44" s="6">
        <f t="shared" si="20"/>
        <v>6.8887331816499895E-3</v>
      </c>
      <c r="W44" s="2"/>
      <c r="X44" s="7">
        <f t="shared" si="21"/>
        <v>511.22000000000025</v>
      </c>
      <c r="Y44" s="2"/>
      <c r="Z44" s="6">
        <f t="shared" si="22"/>
        <v>9.737523809523814E-2</v>
      </c>
    </row>
    <row r="45" spans="1:26" s="25" customFormat="1" outlineLevel="1" collapsed="1" x14ac:dyDescent="0.25">
      <c r="A45" s="27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32003.24</v>
      </c>
      <c r="E45" s="1"/>
      <c r="F45" s="5">
        <f t="shared" ref="F45:F55" si="23">IF(D$12=0,0,D45/D$12)</f>
        <v>0.43756551709333874</v>
      </c>
      <c r="G45" s="1"/>
      <c r="H45" s="1">
        <f>SUM(OSRRefH22_1x_0)</f>
        <v>71324.54811538459</v>
      </c>
      <c r="I45" s="1"/>
      <c r="J45" s="5">
        <f t="shared" ref="J45:J55" si="24">IF(H$12=0,0,H45/H$12)</f>
        <v>0.66619854024195879</v>
      </c>
      <c r="K45" s="1"/>
      <c r="L45" s="1">
        <f t="shared" ref="L45:L55" si="25">+D45-H45</f>
        <v>-39321.308115384585</v>
      </c>
      <c r="M45" s="1"/>
      <c r="N45" s="5">
        <f t="shared" ref="N45:N55" si="26">IF(H45=0,0,L45/H45)</f>
        <v>-0.55130118808145723</v>
      </c>
      <c r="O45" s="13"/>
      <c r="P45" s="1">
        <f>SUM(OSRRefP22_1x_0)</f>
        <v>334887.94</v>
      </c>
      <c r="Q45" s="1"/>
      <c r="R45" s="5">
        <f t="shared" ref="R45:R55" si="27">IF(P$12=0,0,P45/P$12)</f>
        <v>0.72882018305253382</v>
      </c>
      <c r="S45" s="1"/>
      <c r="T45" s="1">
        <f>SUM(OSRRefT22_1x_0)</f>
        <v>498026.79181538499</v>
      </c>
      <c r="U45" s="1"/>
      <c r="V45" s="5">
        <f t="shared" ref="V45:V55" si="28">IF(T$12=0,0,T45/T$12)</f>
        <v>0.65348070211987308</v>
      </c>
      <c r="W45" s="1"/>
      <c r="X45" s="1">
        <f t="shared" ref="X45:X55" si="29">+P45-T45</f>
        <v>-163138.85181538499</v>
      </c>
      <c r="Y45" s="1"/>
      <c r="Z45" s="5">
        <f t="shared" ref="Z45:Z55" si="30">IF(T45=0,0,X45/T45)</f>
        <v>-0.32757043294943738</v>
      </c>
    </row>
    <row r="46" spans="1:26" s="24" customFormat="1" hidden="1" outlineLevel="2" x14ac:dyDescent="0.25">
      <c r="A46" s="26"/>
      <c r="B46" s="11" t="str">
        <f>CONCATENATE("          ", "6001", " - ", "ADMINISTRATIVE SALARIES")</f>
        <v xml:space="preserve">          6001 - ADMINISTRATIVE SALARIES</v>
      </c>
      <c r="C46" s="11"/>
      <c r="D46" s="7">
        <v>13836.92</v>
      </c>
      <c r="E46" s="2"/>
      <c r="F46" s="6">
        <f t="shared" si="23"/>
        <v>0.18918581539803972</v>
      </c>
      <c r="G46" s="2"/>
      <c r="H46" s="7">
        <v>19062.509615384599</v>
      </c>
      <c r="I46" s="2"/>
      <c r="J46" s="6">
        <f t="shared" si="24"/>
        <v>0.17805112565975414</v>
      </c>
      <c r="K46" s="2"/>
      <c r="L46" s="7">
        <f t="shared" si="25"/>
        <v>-5225.5896153845988</v>
      </c>
      <c r="M46" s="2"/>
      <c r="N46" s="6">
        <f t="shared" si="26"/>
        <v>-0.27412915302438623</v>
      </c>
      <c r="O46" s="11"/>
      <c r="P46" s="7">
        <v>111056.17</v>
      </c>
      <c r="Q46" s="2"/>
      <c r="R46" s="6">
        <f t="shared" si="27"/>
        <v>0.24169272308973955</v>
      </c>
      <c r="S46" s="2"/>
      <c r="T46" s="7">
        <v>167750.08461538501</v>
      </c>
      <c r="U46" s="2"/>
      <c r="V46" s="6">
        <f t="shared" si="28"/>
        <v>0.22011153792658975</v>
      </c>
      <c r="W46" s="2"/>
      <c r="X46" s="7">
        <f t="shared" si="29"/>
        <v>-56693.914615385016</v>
      </c>
      <c r="Y46" s="2"/>
      <c r="Z46" s="6">
        <f t="shared" si="30"/>
        <v>-0.33796653364063578</v>
      </c>
    </row>
    <row r="47" spans="1:26" s="24" customFormat="1" hidden="1" outlineLevel="2" x14ac:dyDescent="0.25">
      <c r="A47" s="26"/>
      <c r="B47" s="11" t="str">
        <f>CONCATENATE("          ", "6002", " - ", "STAFF SALARIES")</f>
        <v xml:space="preserve">          6002 - STAFF SALARIES</v>
      </c>
      <c r="C47" s="11"/>
      <c r="D47" s="7">
        <v>14540.3</v>
      </c>
      <c r="E47" s="2"/>
      <c r="F47" s="6">
        <f t="shared" si="23"/>
        <v>0.19880280522197979</v>
      </c>
      <c r="G47" s="2"/>
      <c r="H47" s="7">
        <v>10734.0525</v>
      </c>
      <c r="I47" s="2"/>
      <c r="J47" s="6">
        <f t="shared" si="24"/>
        <v>0.10026015299546057</v>
      </c>
      <c r="K47" s="2"/>
      <c r="L47" s="7">
        <f t="shared" si="25"/>
        <v>3806.2474999999995</v>
      </c>
      <c r="M47" s="2"/>
      <c r="N47" s="6">
        <f t="shared" si="26"/>
        <v>0.35459557329349745</v>
      </c>
      <c r="O47" s="11"/>
      <c r="P47" s="7">
        <v>189681.71</v>
      </c>
      <c r="Q47" s="2"/>
      <c r="R47" s="6">
        <f t="shared" si="27"/>
        <v>0.41280632143372387</v>
      </c>
      <c r="S47" s="2"/>
      <c r="T47" s="7">
        <v>92512.782000000007</v>
      </c>
      <c r="U47" s="2"/>
      <c r="V47" s="6">
        <f t="shared" si="28"/>
        <v>0.1213896897314575</v>
      </c>
      <c r="W47" s="2"/>
      <c r="X47" s="7">
        <f t="shared" si="29"/>
        <v>97168.927999999985</v>
      </c>
      <c r="Y47" s="2"/>
      <c r="Z47" s="6">
        <f t="shared" si="30"/>
        <v>1.0503297587570113</v>
      </c>
    </row>
    <row r="48" spans="1:26" s="24" customFormat="1" hidden="1" outlineLevel="2" x14ac:dyDescent="0.25">
      <c r="A48" s="26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3"/>
        <v>0</v>
      </c>
      <c r="G48" s="2"/>
      <c r="H48" s="7">
        <v>0</v>
      </c>
      <c r="I48" s="2"/>
      <c r="J48" s="6">
        <f t="shared" si="24"/>
        <v>0</v>
      </c>
      <c r="K48" s="2"/>
      <c r="L48" s="7">
        <f t="shared" si="25"/>
        <v>0</v>
      </c>
      <c r="M48" s="2"/>
      <c r="N48" s="6">
        <f t="shared" si="26"/>
        <v>0</v>
      </c>
      <c r="O48" s="11"/>
      <c r="P48" s="7"/>
      <c r="Q48" s="2"/>
      <c r="R48" s="6">
        <f t="shared" si="27"/>
        <v>0</v>
      </c>
      <c r="S48" s="2"/>
      <c r="T48" s="7">
        <v>0</v>
      </c>
      <c r="U48" s="2"/>
      <c r="V48" s="6">
        <f t="shared" si="28"/>
        <v>0</v>
      </c>
      <c r="W48" s="2"/>
      <c r="X48" s="7">
        <f t="shared" si="29"/>
        <v>0</v>
      </c>
      <c r="Y48" s="2"/>
      <c r="Z48" s="6">
        <f t="shared" si="30"/>
        <v>0</v>
      </c>
    </row>
    <row r="49" spans="1:26" s="24" customFormat="1" hidden="1" outlineLevel="2" x14ac:dyDescent="0.25">
      <c r="A49" s="26"/>
      <c r="B49" s="11" t="str">
        <f>CONCATENATE("          ", "6004", " - ", "STAFF HOURLY")</f>
        <v xml:space="preserve">          6004 - STAFF HOURLY</v>
      </c>
      <c r="C49" s="11"/>
      <c r="D49" s="7">
        <v>4020.03</v>
      </c>
      <c r="E49" s="2"/>
      <c r="F49" s="6">
        <f t="shared" si="23"/>
        <v>5.4964013196186844E-2</v>
      </c>
      <c r="G49" s="2"/>
      <c r="H49" s="7">
        <v>10804.85</v>
      </c>
      <c r="I49" s="2"/>
      <c r="J49" s="6">
        <f t="shared" si="24"/>
        <v>0.10092142870486261</v>
      </c>
      <c r="K49" s="2"/>
      <c r="L49" s="7">
        <f t="shared" si="25"/>
        <v>-6784.82</v>
      </c>
      <c r="M49" s="2"/>
      <c r="N49" s="6">
        <f t="shared" si="26"/>
        <v>-0.62794208156522302</v>
      </c>
      <c r="O49" s="11"/>
      <c r="P49" s="7">
        <v>28579.360000000001</v>
      </c>
      <c r="Q49" s="2"/>
      <c r="R49" s="6">
        <f t="shared" si="27"/>
        <v>6.2197564912980334E-2</v>
      </c>
      <c r="S49" s="2"/>
      <c r="T49" s="7">
        <v>70406.19</v>
      </c>
      <c r="U49" s="2"/>
      <c r="V49" s="6">
        <f t="shared" si="28"/>
        <v>9.2382753761248326E-2</v>
      </c>
      <c r="W49" s="2"/>
      <c r="X49" s="7">
        <f t="shared" si="29"/>
        <v>-41826.83</v>
      </c>
      <c r="Y49" s="2"/>
      <c r="Z49" s="6">
        <f t="shared" si="30"/>
        <v>-0.59407887289455663</v>
      </c>
    </row>
    <row r="50" spans="1:26" s="24" customFormat="1" hidden="1" outlineLevel="2" x14ac:dyDescent="0.25">
      <c r="A50" s="26"/>
      <c r="B50" s="11" t="str">
        <f>CONCATENATE("          ", "6005", " - ", "TEMPORARY WAGES-HOURLY")</f>
        <v xml:space="preserve">          6005 - TEMPORARY WAGES-HOURLY</v>
      </c>
      <c r="C50" s="11"/>
      <c r="D50" s="7">
        <v>382.01</v>
      </c>
      <c r="E50" s="2"/>
      <c r="F50" s="6">
        <f t="shared" si="23"/>
        <v>5.223046266091381E-3</v>
      </c>
      <c r="G50" s="2"/>
      <c r="H50" s="7">
        <v>13708.82</v>
      </c>
      <c r="I50" s="2"/>
      <c r="J50" s="6">
        <f t="shared" si="24"/>
        <v>0.12804561842670603</v>
      </c>
      <c r="K50" s="2"/>
      <c r="L50" s="7">
        <f t="shared" si="25"/>
        <v>-13326.81</v>
      </c>
      <c r="M50" s="2"/>
      <c r="N50" s="6">
        <f t="shared" si="26"/>
        <v>-0.97213399840394721</v>
      </c>
      <c r="O50" s="11"/>
      <c r="P50" s="7">
        <v>5423.01</v>
      </c>
      <c r="Q50" s="2"/>
      <c r="R50" s="6">
        <f t="shared" si="27"/>
        <v>1.1802154299422432E-2</v>
      </c>
      <c r="S50" s="2"/>
      <c r="T50" s="7">
        <v>76734.426000000007</v>
      </c>
      <c r="U50" s="2"/>
      <c r="V50" s="6">
        <f t="shared" si="28"/>
        <v>0.1006862831544887</v>
      </c>
      <c r="W50" s="2"/>
      <c r="X50" s="7">
        <f t="shared" si="29"/>
        <v>-71311.416000000012</v>
      </c>
      <c r="Y50" s="2"/>
      <c r="Z50" s="6">
        <f t="shared" si="30"/>
        <v>-0.92932754849824517</v>
      </c>
    </row>
    <row r="51" spans="1:26" s="24" customFormat="1" hidden="1" outlineLevel="2" x14ac:dyDescent="0.25">
      <c r="A51" s="26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3"/>
        <v>0</v>
      </c>
      <c r="G51" s="2"/>
      <c r="H51" s="7">
        <v>0</v>
      </c>
      <c r="I51" s="2"/>
      <c r="J51" s="6">
        <f t="shared" si="24"/>
        <v>0</v>
      </c>
      <c r="K51" s="2"/>
      <c r="L51" s="7">
        <f t="shared" si="25"/>
        <v>0</v>
      </c>
      <c r="M51" s="2"/>
      <c r="N51" s="6">
        <f t="shared" si="26"/>
        <v>0</v>
      </c>
      <c r="O51" s="11"/>
      <c r="P51" s="7"/>
      <c r="Q51" s="2"/>
      <c r="R51" s="6">
        <f t="shared" si="27"/>
        <v>0</v>
      </c>
      <c r="S51" s="2"/>
      <c r="T51" s="7">
        <v>0</v>
      </c>
      <c r="U51" s="2"/>
      <c r="V51" s="6">
        <f t="shared" si="28"/>
        <v>0</v>
      </c>
      <c r="W51" s="2"/>
      <c r="X51" s="7">
        <f t="shared" si="29"/>
        <v>0</v>
      </c>
      <c r="Y51" s="2"/>
      <c r="Z51" s="6">
        <f t="shared" si="30"/>
        <v>0</v>
      </c>
    </row>
    <row r="52" spans="1:26" s="24" customFormat="1" hidden="1" outlineLevel="2" x14ac:dyDescent="0.25">
      <c r="A52" s="26"/>
      <c r="B52" s="11" t="str">
        <f>CONCATENATE("          ", "6007", " - ", "STUDENT HOURLY")</f>
        <v xml:space="preserve">          6007 - STUDENT HOURLY</v>
      </c>
      <c r="C52" s="11"/>
      <c r="D52" s="7">
        <v>-776.02</v>
      </c>
      <c r="E52" s="2"/>
      <c r="F52" s="6">
        <f t="shared" si="23"/>
        <v>-1.0610162988959015E-2</v>
      </c>
      <c r="G52" s="2"/>
      <c r="H52" s="7">
        <v>0</v>
      </c>
      <c r="I52" s="2"/>
      <c r="J52" s="6">
        <f t="shared" si="24"/>
        <v>0</v>
      </c>
      <c r="K52" s="2"/>
      <c r="L52" s="7">
        <f t="shared" si="25"/>
        <v>-776.02</v>
      </c>
      <c r="M52" s="2"/>
      <c r="N52" s="6">
        <f t="shared" si="26"/>
        <v>0</v>
      </c>
      <c r="O52" s="11"/>
      <c r="P52" s="7">
        <v>147.69</v>
      </c>
      <c r="Q52" s="2"/>
      <c r="R52" s="6">
        <f t="shared" si="27"/>
        <v>3.2141931666762532E-4</v>
      </c>
      <c r="S52" s="2"/>
      <c r="T52" s="7">
        <v>3202.94</v>
      </c>
      <c r="U52" s="2"/>
      <c r="V52" s="6">
        <f t="shared" si="28"/>
        <v>4.2027045822540989E-3</v>
      </c>
      <c r="W52" s="2"/>
      <c r="X52" s="7">
        <f t="shared" si="29"/>
        <v>-3055.25</v>
      </c>
      <c r="Y52" s="2"/>
      <c r="Z52" s="6">
        <f t="shared" si="30"/>
        <v>-0.95388923926142855</v>
      </c>
    </row>
    <row r="53" spans="1:26" s="24" customFormat="1" hidden="1" outlineLevel="2" x14ac:dyDescent="0.25">
      <c r="A53" s="26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3"/>
        <v>0</v>
      </c>
      <c r="G53" s="2"/>
      <c r="H53" s="7">
        <v>17014.315999999999</v>
      </c>
      <c r="I53" s="2"/>
      <c r="J53" s="6">
        <f t="shared" si="24"/>
        <v>0.15892021445517548</v>
      </c>
      <c r="K53" s="2"/>
      <c r="L53" s="7">
        <f t="shared" si="25"/>
        <v>-17014.315999999999</v>
      </c>
      <c r="M53" s="2"/>
      <c r="N53" s="6">
        <f t="shared" si="26"/>
        <v>-1</v>
      </c>
      <c r="O53" s="11"/>
      <c r="P53" s="7"/>
      <c r="Q53" s="2"/>
      <c r="R53" s="6">
        <f t="shared" si="27"/>
        <v>0</v>
      </c>
      <c r="S53" s="2"/>
      <c r="T53" s="7">
        <v>87420.369200000001</v>
      </c>
      <c r="U53" s="2"/>
      <c r="V53" s="6">
        <f t="shared" si="28"/>
        <v>0.11470773296383481</v>
      </c>
      <c r="W53" s="2"/>
      <c r="X53" s="7">
        <f t="shared" si="29"/>
        <v>-87420.369200000001</v>
      </c>
      <c r="Y53" s="2"/>
      <c r="Z53" s="6">
        <f t="shared" si="30"/>
        <v>-1</v>
      </c>
    </row>
    <row r="54" spans="1:26" s="24" customFormat="1" hidden="1" outlineLevel="2" x14ac:dyDescent="0.25">
      <c r="A54" s="26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4" customFormat="1" hidden="1" outlineLevel="2" x14ac:dyDescent="0.25">
      <c r="A55" s="26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3"/>
        <v>0</v>
      </c>
      <c r="G55" s="2"/>
      <c r="H55" s="7">
        <v>0</v>
      </c>
      <c r="I55" s="2"/>
      <c r="J55" s="6">
        <f t="shared" si="24"/>
        <v>0</v>
      </c>
      <c r="K55" s="2"/>
      <c r="L55" s="7">
        <f t="shared" si="25"/>
        <v>0</v>
      </c>
      <c r="M55" s="2"/>
      <c r="N55" s="6">
        <f t="shared" si="26"/>
        <v>0</v>
      </c>
      <c r="O55" s="11"/>
      <c r="P55" s="7"/>
      <c r="Q55" s="2"/>
      <c r="R55" s="6">
        <f t="shared" si="27"/>
        <v>0</v>
      </c>
      <c r="S55" s="2"/>
      <c r="T55" s="7">
        <v>0</v>
      </c>
      <c r="U55" s="2"/>
      <c r="V55" s="6">
        <f t="shared" si="28"/>
        <v>0</v>
      </c>
      <c r="W55" s="2"/>
      <c r="X55" s="7">
        <f t="shared" si="29"/>
        <v>0</v>
      </c>
      <c r="Y55" s="2"/>
      <c r="Z55" s="6">
        <f t="shared" si="30"/>
        <v>0</v>
      </c>
    </row>
    <row r="56" spans="1:26" s="25" customFormat="1" outlineLevel="1" collapsed="1" x14ac:dyDescent="0.25">
      <c r="A56" s="27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68.13</v>
      </c>
      <c r="E56" s="1"/>
      <c r="F56" s="5">
        <f t="shared" ref="F56:F65" si="31">IF(D$12=0,0,D56/D$12)</f>
        <v>9.3151001834717879E-4</v>
      </c>
      <c r="G56" s="1"/>
      <c r="H56" s="1">
        <f>SUM(OSRRefH22_2x_0)</f>
        <v>600</v>
      </c>
      <c r="I56" s="1"/>
      <c r="J56" s="5">
        <f t="shared" ref="J56:J65" si="32">IF(H$12=0,0,H56/H$12)</f>
        <v>5.6042293250639814E-3</v>
      </c>
      <c r="K56" s="1"/>
      <c r="L56" s="1">
        <f t="shared" ref="L56:L65" si="33">+D56-H56</f>
        <v>-531.87</v>
      </c>
      <c r="M56" s="1"/>
      <c r="N56" s="5">
        <f t="shared" ref="N56:N65" si="34">IF(H56=0,0,L56/H56)</f>
        <v>-0.88644999999999996</v>
      </c>
      <c r="O56" s="13"/>
      <c r="P56" s="1">
        <f>SUM(OSRRefP22_2x_0)</f>
        <v>441.15</v>
      </c>
      <c r="Q56" s="1"/>
      <c r="R56" s="5">
        <f t="shared" ref="R56:R65" si="35">IF(P$12=0,0,P56/P$12)</f>
        <v>9.6007943359687799E-4</v>
      </c>
      <c r="S56" s="1"/>
      <c r="T56" s="1">
        <f>SUM(OSRRefT22_2x_0)</f>
        <v>9028</v>
      </c>
      <c r="U56" s="1"/>
      <c r="V56" s="5">
        <f t="shared" ref="V56:V65" si="36">IF(T$12=0,0,T56/T$12)</f>
        <v>1.1845996793130687E-2</v>
      </c>
      <c r="W56" s="1"/>
      <c r="X56" s="1">
        <f t="shared" ref="X56:X65" si="37">+P56-T56</f>
        <v>-8586.85</v>
      </c>
      <c r="Y56" s="1"/>
      <c r="Z56" s="5">
        <f t="shared" ref="Z56:Z65" si="38">IF(T56=0,0,X56/T56)</f>
        <v>-0.95113535666814364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7">
        <v>68.13</v>
      </c>
      <c r="E57" s="2"/>
      <c r="F57" s="6">
        <f t="shared" si="31"/>
        <v>9.3151001834717879E-4</v>
      </c>
      <c r="G57" s="2"/>
      <c r="H57" s="7">
        <v>600</v>
      </c>
      <c r="I57" s="2"/>
      <c r="J57" s="6">
        <f t="shared" si="32"/>
        <v>5.6042293250639814E-3</v>
      </c>
      <c r="K57" s="2"/>
      <c r="L57" s="7">
        <f t="shared" si="33"/>
        <v>-531.87</v>
      </c>
      <c r="M57" s="2"/>
      <c r="N57" s="6">
        <f t="shared" si="34"/>
        <v>-0.88644999999999996</v>
      </c>
      <c r="O57" s="11"/>
      <c r="P57" s="7">
        <v>441.15</v>
      </c>
      <c r="Q57" s="2"/>
      <c r="R57" s="6">
        <f t="shared" si="35"/>
        <v>9.6007943359687799E-4</v>
      </c>
      <c r="S57" s="2"/>
      <c r="T57" s="7">
        <v>9028</v>
      </c>
      <c r="U57" s="2"/>
      <c r="V57" s="6">
        <f t="shared" si="36"/>
        <v>1.1845996793130687E-2</v>
      </c>
      <c r="W57" s="2"/>
      <c r="X57" s="7">
        <f t="shared" si="37"/>
        <v>-8586.85</v>
      </c>
      <c r="Y57" s="2"/>
      <c r="Z57" s="6">
        <f t="shared" si="38"/>
        <v>-0.95113535666814364</v>
      </c>
    </row>
    <row r="58" spans="1:26" s="25" customFormat="1" outlineLevel="1" collapsed="1" x14ac:dyDescent="0.25">
      <c r="A58" s="27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0.57999999999999996</v>
      </c>
      <c r="E58" s="1"/>
      <c r="F58" s="5">
        <f t="shared" si="31"/>
        <v>7.930072077518916E-6</v>
      </c>
      <c r="G58" s="1"/>
      <c r="H58" s="1">
        <f>SUM(OSRRefH22_3x_0)</f>
        <v>12</v>
      </c>
      <c r="I58" s="1"/>
      <c r="J58" s="5">
        <f t="shared" si="32"/>
        <v>1.1208458650127964E-4</v>
      </c>
      <c r="K58" s="1"/>
      <c r="L58" s="1">
        <f t="shared" si="33"/>
        <v>-11.42</v>
      </c>
      <c r="M58" s="1"/>
      <c r="N58" s="5">
        <f t="shared" si="34"/>
        <v>-0.95166666666666666</v>
      </c>
      <c r="O58" s="13"/>
      <c r="P58" s="1">
        <f>SUM(OSRRefP22_3x_0)</f>
        <v>12.29</v>
      </c>
      <c r="Q58" s="1"/>
      <c r="R58" s="5">
        <f t="shared" si="35"/>
        <v>2.6746857619643275E-5</v>
      </c>
      <c r="S58" s="1"/>
      <c r="T58" s="1">
        <f>SUM(OSRRefT22_3x_0)</f>
        <v>159</v>
      </c>
      <c r="U58" s="1"/>
      <c r="V58" s="5">
        <f t="shared" si="36"/>
        <v>2.0863020492997112E-4</v>
      </c>
      <c r="W58" s="1"/>
      <c r="X58" s="1">
        <f t="shared" si="37"/>
        <v>-146.71</v>
      </c>
      <c r="Y58" s="1"/>
      <c r="Z58" s="5">
        <f t="shared" si="38"/>
        <v>-0.92270440251572328</v>
      </c>
    </row>
    <row r="59" spans="1:26" s="24" customFormat="1" hidden="1" outlineLevel="2" x14ac:dyDescent="0.25">
      <c r="A59" s="26"/>
      <c r="B59" s="11" t="str">
        <f>CONCATENATE("          ", "6272", " - ", "CASH (OVER/SHORT)")</f>
        <v xml:space="preserve">          6272 - CASH (OVER/SHORT)</v>
      </c>
      <c r="C59" s="11"/>
      <c r="D59" s="7">
        <v>0.57999999999999996</v>
      </c>
      <c r="E59" s="2"/>
      <c r="F59" s="6">
        <f t="shared" si="31"/>
        <v>7.930072077518916E-6</v>
      </c>
      <c r="G59" s="2"/>
      <c r="H59" s="7">
        <v>12</v>
      </c>
      <c r="I59" s="2"/>
      <c r="J59" s="6">
        <f t="shared" si="32"/>
        <v>1.1208458650127964E-4</v>
      </c>
      <c r="K59" s="2"/>
      <c r="L59" s="7">
        <f t="shared" si="33"/>
        <v>-11.42</v>
      </c>
      <c r="M59" s="2"/>
      <c r="N59" s="6">
        <f t="shared" si="34"/>
        <v>-0.95166666666666666</v>
      </c>
      <c r="O59" s="11"/>
      <c r="P59" s="7">
        <v>12.29</v>
      </c>
      <c r="Q59" s="2"/>
      <c r="R59" s="6">
        <f t="shared" si="35"/>
        <v>2.6746857619643275E-5</v>
      </c>
      <c r="S59" s="2"/>
      <c r="T59" s="7">
        <v>159</v>
      </c>
      <c r="U59" s="2"/>
      <c r="V59" s="6">
        <f t="shared" si="36"/>
        <v>2.0863020492997112E-4</v>
      </c>
      <c r="W59" s="2"/>
      <c r="X59" s="7">
        <f t="shared" si="37"/>
        <v>-146.71</v>
      </c>
      <c r="Y59" s="2"/>
      <c r="Z59" s="6">
        <f t="shared" si="38"/>
        <v>-0.92270440251572328</v>
      </c>
    </row>
    <row r="60" spans="1:26" s="25" customFormat="1" outlineLevel="1" collapsed="1" x14ac:dyDescent="0.25">
      <c r="A60" s="27"/>
      <c r="B60" s="13" t="str">
        <f>CONCATENATE("     ","Bank/card Fees                                    ")</f>
        <v xml:space="preserve">     Bank/card Fees                                    </v>
      </c>
      <c r="C60" s="13"/>
      <c r="D60" s="1">
        <f>SUM(OSRRefD22_4x_0)</f>
        <v>1701.74</v>
      </c>
      <c r="E60" s="1"/>
      <c r="F60" s="5">
        <f t="shared" si="31"/>
        <v>2.3267104926201793E-2</v>
      </c>
      <c r="G60" s="1"/>
      <c r="H60" s="1">
        <f>SUM(OSRRefH22_4x_0)</f>
        <v>6459</v>
      </c>
      <c r="I60" s="1"/>
      <c r="J60" s="5">
        <f t="shared" si="32"/>
        <v>6.0329528684313759E-2</v>
      </c>
      <c r="K60" s="1"/>
      <c r="L60" s="1">
        <f t="shared" si="33"/>
        <v>-4757.26</v>
      </c>
      <c r="M60" s="1"/>
      <c r="N60" s="5">
        <f t="shared" si="34"/>
        <v>-0.73653197089332723</v>
      </c>
      <c r="O60" s="13"/>
      <c r="P60" s="1">
        <f>SUM(OSRRefP22_4x_0)</f>
        <v>8647.77</v>
      </c>
      <c r="Q60" s="1"/>
      <c r="R60" s="5">
        <f t="shared" si="35"/>
        <v>1.8820233760571403E-2</v>
      </c>
      <c r="S60" s="1"/>
      <c r="T60" s="1">
        <f>SUM(OSRRefT22_4x_0)</f>
        <v>70186</v>
      </c>
      <c r="U60" s="1"/>
      <c r="V60" s="5">
        <f t="shared" si="36"/>
        <v>9.2093833730911651E-2</v>
      </c>
      <c r="W60" s="1"/>
      <c r="X60" s="1">
        <f t="shared" si="37"/>
        <v>-61538.229999999996</v>
      </c>
      <c r="Y60" s="1"/>
      <c r="Z60" s="5">
        <f t="shared" si="38"/>
        <v>-0.87678782093294949</v>
      </c>
    </row>
    <row r="61" spans="1:26" s="24" customFormat="1" hidden="1" outlineLevel="2" x14ac:dyDescent="0.25">
      <c r="A61" s="26"/>
      <c r="B61" s="11" t="str">
        <f>CONCATENATE("          ", "6381", " - ", "BANK/CREDIT CARD FEES")</f>
        <v xml:space="preserve">          6381 - BANK/CREDIT CARD FEES</v>
      </c>
      <c r="C61" s="11"/>
      <c r="D61" s="7">
        <v>1701.74</v>
      </c>
      <c r="E61" s="2"/>
      <c r="F61" s="6">
        <f t="shared" si="31"/>
        <v>2.3267104926201793E-2</v>
      </c>
      <c r="G61" s="2"/>
      <c r="H61" s="7">
        <v>6459</v>
      </c>
      <c r="I61" s="2"/>
      <c r="J61" s="6">
        <f t="shared" si="32"/>
        <v>6.0329528684313759E-2</v>
      </c>
      <c r="K61" s="2"/>
      <c r="L61" s="7">
        <f t="shared" si="33"/>
        <v>-4757.26</v>
      </c>
      <c r="M61" s="2"/>
      <c r="N61" s="6">
        <f t="shared" si="34"/>
        <v>-0.73653197089332723</v>
      </c>
      <c r="O61" s="11"/>
      <c r="P61" s="7">
        <v>8647.77</v>
      </c>
      <c r="Q61" s="2"/>
      <c r="R61" s="6">
        <f t="shared" si="35"/>
        <v>1.8820233760571403E-2</v>
      </c>
      <c r="S61" s="2"/>
      <c r="T61" s="7">
        <v>70186</v>
      </c>
      <c r="U61" s="2"/>
      <c r="V61" s="6">
        <f t="shared" si="36"/>
        <v>9.2093833730911651E-2</v>
      </c>
      <c r="W61" s="2"/>
      <c r="X61" s="7">
        <f t="shared" si="37"/>
        <v>-61538.229999999996</v>
      </c>
      <c r="Y61" s="2"/>
      <c r="Z61" s="6">
        <f t="shared" si="38"/>
        <v>-0.87678782093294949</v>
      </c>
    </row>
    <row r="62" spans="1:26" s="25" customFormat="1" outlineLevel="1" collapsed="1" x14ac:dyDescent="0.25">
      <c r="A62" s="27"/>
      <c r="B62" s="13" t="str">
        <f>CONCATENATE("     ","Depreciation                                      ")</f>
        <v xml:space="preserve">     Depreciation                                      </v>
      </c>
      <c r="C62" s="13"/>
      <c r="D62" s="1">
        <f>SUM(OSRRefD22_5x_0)</f>
        <v>45872.85</v>
      </c>
      <c r="E62" s="1"/>
      <c r="F62" s="5">
        <f t="shared" si="31"/>
        <v>0.62719828776071307</v>
      </c>
      <c r="G62" s="1"/>
      <c r="H62" s="1">
        <f>SUM(OSRRefH22_5x_0)</f>
        <v>46280</v>
      </c>
      <c r="I62" s="1"/>
      <c r="J62" s="5">
        <f t="shared" si="32"/>
        <v>0.43227288860660179</v>
      </c>
      <c r="K62" s="1"/>
      <c r="L62" s="1">
        <f t="shared" si="33"/>
        <v>-407.15000000000146</v>
      </c>
      <c r="M62" s="1"/>
      <c r="N62" s="5">
        <f t="shared" si="34"/>
        <v>-8.7975367329300221E-3</v>
      </c>
      <c r="O62" s="13"/>
      <c r="P62" s="1">
        <f>SUM(OSRRefP22_5x_0)</f>
        <v>461733.3</v>
      </c>
      <c r="Q62" s="1"/>
      <c r="R62" s="5">
        <f t="shared" si="35"/>
        <v>1.0048750881487416</v>
      </c>
      <c r="S62" s="1"/>
      <c r="T62" s="1">
        <f>SUM(OSRRefT22_5x_0)</f>
        <v>465852</v>
      </c>
      <c r="U62" s="1"/>
      <c r="V62" s="5">
        <f t="shared" si="36"/>
        <v>0.61126288193104972</v>
      </c>
      <c r="W62" s="1"/>
      <c r="X62" s="1">
        <f t="shared" si="37"/>
        <v>-4118.7000000000116</v>
      </c>
      <c r="Y62" s="1"/>
      <c r="Z62" s="5">
        <f t="shared" si="38"/>
        <v>-8.8412199582700336E-3</v>
      </c>
    </row>
    <row r="63" spans="1:26" s="24" customFormat="1" hidden="1" outlineLevel="2" x14ac:dyDescent="0.25">
      <c r="A63" s="26"/>
      <c r="B63" s="11" t="str">
        <f>CONCATENATE("          ", "6321", " - ", "BUILDING DEPRECIATION")</f>
        <v xml:space="preserve">          6321 - BUILDING DEPRECIATION</v>
      </c>
      <c r="C63" s="11"/>
      <c r="D63" s="7">
        <v>28664</v>
      </c>
      <c r="E63" s="2"/>
      <c r="F63" s="6">
        <f t="shared" si="31"/>
        <v>0.39190963108621069</v>
      </c>
      <c r="G63" s="2"/>
      <c r="H63" s="7"/>
      <c r="I63" s="2"/>
      <c r="J63" s="6">
        <f t="shared" si="32"/>
        <v>0</v>
      </c>
      <c r="K63" s="2"/>
      <c r="L63" s="7">
        <f t="shared" si="33"/>
        <v>28664</v>
      </c>
      <c r="M63" s="2"/>
      <c r="N63" s="6">
        <f t="shared" si="34"/>
        <v>0</v>
      </c>
      <c r="O63" s="11"/>
      <c r="P63" s="7">
        <v>287424.19</v>
      </c>
      <c r="Q63" s="2"/>
      <c r="R63" s="6">
        <f t="shared" si="35"/>
        <v>0.62552431947691589</v>
      </c>
      <c r="S63" s="2"/>
      <c r="T63" s="7"/>
      <c r="U63" s="2"/>
      <c r="V63" s="6">
        <f t="shared" si="36"/>
        <v>0</v>
      </c>
      <c r="W63" s="2"/>
      <c r="X63" s="7">
        <f t="shared" si="37"/>
        <v>287424.19</v>
      </c>
      <c r="Y63" s="2"/>
      <c r="Z63" s="6">
        <f t="shared" si="38"/>
        <v>0</v>
      </c>
    </row>
    <row r="64" spans="1:26" s="24" customFormat="1" hidden="1" outlineLevel="2" x14ac:dyDescent="0.25">
      <c r="A64" s="26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17208.849999999999</v>
      </c>
      <c r="E64" s="2"/>
      <c r="F64" s="6">
        <f t="shared" si="31"/>
        <v>0.23528865667450238</v>
      </c>
      <c r="G64" s="2"/>
      <c r="H64" s="7">
        <v>45730</v>
      </c>
      <c r="I64" s="2"/>
      <c r="J64" s="6">
        <f t="shared" si="32"/>
        <v>0.42713567839195982</v>
      </c>
      <c r="K64" s="2"/>
      <c r="L64" s="7">
        <f t="shared" si="33"/>
        <v>-28521.15</v>
      </c>
      <c r="M64" s="2"/>
      <c r="N64" s="6">
        <f t="shared" si="34"/>
        <v>-0.62368576426853273</v>
      </c>
      <c r="O64" s="11"/>
      <c r="P64" s="7">
        <v>174309.11</v>
      </c>
      <c r="Q64" s="2"/>
      <c r="R64" s="6">
        <f t="shared" si="35"/>
        <v>0.37935076867182566</v>
      </c>
      <c r="S64" s="2"/>
      <c r="T64" s="7">
        <v>460352</v>
      </c>
      <c r="U64" s="2"/>
      <c r="V64" s="6">
        <f t="shared" si="36"/>
        <v>0.60404611383598783</v>
      </c>
      <c r="W64" s="2"/>
      <c r="X64" s="7">
        <f t="shared" si="37"/>
        <v>-286042.89</v>
      </c>
      <c r="Y64" s="2"/>
      <c r="Z64" s="6">
        <f t="shared" si="38"/>
        <v>-0.62135689646183789</v>
      </c>
    </row>
    <row r="65" spans="1:26" s="24" customFormat="1" hidden="1" outlineLevel="2" x14ac:dyDescent="0.25">
      <c r="A65" s="26"/>
      <c r="B65" s="11" t="str">
        <f>CONCATENATE("          ", "6326", " - ", "VEHICLES DEPRECIATION EXPENSE")</f>
        <v xml:space="preserve">          6326 - VEHICLES DEPRECIATION EXPENSE</v>
      </c>
      <c r="C65" s="11"/>
      <c r="D65" s="7"/>
      <c r="E65" s="2"/>
      <c r="F65" s="6">
        <f t="shared" si="31"/>
        <v>0</v>
      </c>
      <c r="G65" s="2"/>
      <c r="H65" s="7">
        <v>550</v>
      </c>
      <c r="I65" s="2"/>
      <c r="J65" s="6">
        <f t="shared" si="32"/>
        <v>5.1372102146419836E-3</v>
      </c>
      <c r="K65" s="2"/>
      <c r="L65" s="7">
        <f t="shared" si="33"/>
        <v>-550</v>
      </c>
      <c r="M65" s="2"/>
      <c r="N65" s="6">
        <f t="shared" si="34"/>
        <v>-1</v>
      </c>
      <c r="O65" s="11"/>
      <c r="P65" s="7"/>
      <c r="Q65" s="2"/>
      <c r="R65" s="6">
        <f t="shared" si="35"/>
        <v>0</v>
      </c>
      <c r="S65" s="2"/>
      <c r="T65" s="7">
        <v>5500</v>
      </c>
      <c r="U65" s="2"/>
      <c r="V65" s="6">
        <f t="shared" si="36"/>
        <v>7.2167680950618934E-3</v>
      </c>
      <c r="W65" s="2"/>
      <c r="X65" s="7">
        <f t="shared" si="37"/>
        <v>-5500</v>
      </c>
      <c r="Y65" s="2"/>
      <c r="Z65" s="6">
        <f t="shared" si="38"/>
        <v>-1</v>
      </c>
    </row>
    <row r="66" spans="1:26" s="25" customFormat="1" outlineLevel="1" collapsed="1" x14ac:dyDescent="0.25">
      <c r="A66" s="27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SUM(OSRRefD22_6x_0)</f>
        <v>0</v>
      </c>
      <c r="E66" s="1"/>
      <c r="F66" s="5">
        <f t="shared" ref="F66:F72" si="39">IF(D$12=0,0,D66/D$12)</f>
        <v>0</v>
      </c>
      <c r="G66" s="1"/>
      <c r="H66" s="1">
        <f>SUM(OSRRefH22_6x_0)</f>
        <v>100</v>
      </c>
      <c r="I66" s="1"/>
      <c r="J66" s="5">
        <f t="shared" ref="J66:J72" si="40">IF(H$12=0,0,H66/H$12)</f>
        <v>9.3403822084399694E-4</v>
      </c>
      <c r="K66" s="1"/>
      <c r="L66" s="1">
        <f t="shared" ref="L66:L72" si="41">+D66-H66</f>
        <v>-100</v>
      </c>
      <c r="M66" s="1"/>
      <c r="N66" s="5">
        <f t="shared" ref="N66:N72" si="42">IF(H66=0,0,L66/H66)</f>
        <v>-1</v>
      </c>
      <c r="O66" s="13"/>
      <c r="P66" s="1">
        <f>SUM(OSRRefP22_6x_0)</f>
        <v>10</v>
      </c>
      <c r="Q66" s="1"/>
      <c r="R66" s="5">
        <f t="shared" ref="R66:R72" si="43">IF(P$12=0,0,P66/P$12)</f>
        <v>2.1763106281239443E-5</v>
      </c>
      <c r="S66" s="1"/>
      <c r="T66" s="1">
        <f>SUM(OSRRefT22_6x_0)</f>
        <v>250</v>
      </c>
      <c r="U66" s="1"/>
      <c r="V66" s="5">
        <f t="shared" ref="V66:V72" si="44">IF(T$12=0,0,T66/T$12)</f>
        <v>3.2803491341190427E-4</v>
      </c>
      <c r="W66" s="1"/>
      <c r="X66" s="1">
        <f t="shared" ref="X66:X72" si="45">+P66-T66</f>
        <v>-240</v>
      </c>
      <c r="Y66" s="1"/>
      <c r="Z66" s="5">
        <f t="shared" ref="Z66:Z72" si="46">IF(T66=0,0,X66/T66)</f>
        <v>-0.96</v>
      </c>
    </row>
    <row r="67" spans="1:26" s="24" customFormat="1" hidden="1" outlineLevel="2" x14ac:dyDescent="0.25">
      <c r="A67" s="26"/>
      <c r="B67" s="11" t="str">
        <f>CONCATENATE("          ", "6277", " - ", "EMPLOYEE APPRECIATION")</f>
        <v xml:space="preserve">          6277 - EMPLOYEE APPRECIATION</v>
      </c>
      <c r="C67" s="11"/>
      <c r="D67" s="7"/>
      <c r="E67" s="2"/>
      <c r="F67" s="6">
        <f t="shared" si="39"/>
        <v>0</v>
      </c>
      <c r="G67" s="2"/>
      <c r="H67" s="7">
        <v>100</v>
      </c>
      <c r="I67" s="2"/>
      <c r="J67" s="6">
        <f t="shared" si="40"/>
        <v>9.3403822084399694E-4</v>
      </c>
      <c r="K67" s="2"/>
      <c r="L67" s="7">
        <f t="shared" si="41"/>
        <v>-100</v>
      </c>
      <c r="M67" s="2"/>
      <c r="N67" s="6">
        <f t="shared" si="42"/>
        <v>-1</v>
      </c>
      <c r="O67" s="11"/>
      <c r="P67" s="7">
        <v>10</v>
      </c>
      <c r="Q67" s="2"/>
      <c r="R67" s="6">
        <f t="shared" si="43"/>
        <v>2.1763106281239443E-5</v>
      </c>
      <c r="S67" s="2"/>
      <c r="T67" s="7">
        <v>250</v>
      </c>
      <c r="U67" s="2"/>
      <c r="V67" s="6">
        <f t="shared" si="44"/>
        <v>3.2803491341190427E-4</v>
      </c>
      <c r="W67" s="2"/>
      <c r="X67" s="7">
        <f t="shared" si="45"/>
        <v>-240</v>
      </c>
      <c r="Y67" s="2"/>
      <c r="Z67" s="6">
        <f t="shared" si="46"/>
        <v>-0.96</v>
      </c>
    </row>
    <row r="68" spans="1:26" s="25" customFormat="1" outlineLevel="1" collapsed="1" x14ac:dyDescent="0.25">
      <c r="A68" s="27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SUM(OSRRefD22_7x_0)</f>
        <v>743.99</v>
      </c>
      <c r="E68" s="1"/>
      <c r="F68" s="5">
        <f t="shared" si="39"/>
        <v>1.0172231594747066E-2</v>
      </c>
      <c r="G68" s="1"/>
      <c r="H68" s="1">
        <f>SUM(OSRRefH22_7x_0)</f>
        <v>500.33333333333297</v>
      </c>
      <c r="I68" s="1"/>
      <c r="J68" s="5">
        <f t="shared" si="40"/>
        <v>4.6733045649561284E-3</v>
      </c>
      <c r="K68" s="1"/>
      <c r="L68" s="1">
        <f t="shared" si="41"/>
        <v>243.65666666666704</v>
      </c>
      <c r="M68" s="1"/>
      <c r="N68" s="5">
        <f t="shared" si="42"/>
        <v>0.48698867421718961</v>
      </c>
      <c r="O68" s="13"/>
      <c r="P68" s="1">
        <f>SUM(OSRRefP22_7x_0)</f>
        <v>6069.17</v>
      </c>
      <c r="Q68" s="1"/>
      <c r="R68" s="5">
        <f t="shared" si="43"/>
        <v>1.3208399174891E-2</v>
      </c>
      <c r="S68" s="1"/>
      <c r="T68" s="1">
        <f>SUM(OSRRefT22_7x_0)</f>
        <v>4309.3333333333303</v>
      </c>
      <c r="U68" s="1"/>
      <c r="V68" s="5">
        <f t="shared" si="44"/>
        <v>5.6544471474521268E-3</v>
      </c>
      <c r="W68" s="1"/>
      <c r="X68" s="1">
        <f t="shared" si="45"/>
        <v>1759.8366666666698</v>
      </c>
      <c r="Y68" s="1"/>
      <c r="Z68" s="5">
        <f t="shared" si="46"/>
        <v>0.40837793935643663</v>
      </c>
    </row>
    <row r="69" spans="1:26" s="24" customFormat="1" hidden="1" outlineLevel="2" x14ac:dyDescent="0.25">
      <c r="A69" s="26"/>
      <c r="B69" s="11" t="str">
        <f>CONCATENATE("          ", "6351", " - ", "EQUIPMENT RENTAL")</f>
        <v xml:space="preserve">          6351 - EQUIPMENT RENTAL</v>
      </c>
      <c r="C69" s="11"/>
      <c r="D69" s="7">
        <v>743.99</v>
      </c>
      <c r="E69" s="2"/>
      <c r="F69" s="6">
        <f t="shared" si="39"/>
        <v>1.0172231594747066E-2</v>
      </c>
      <c r="G69" s="2"/>
      <c r="H69" s="7">
        <v>500.33333333333297</v>
      </c>
      <c r="I69" s="2"/>
      <c r="J69" s="6">
        <f t="shared" si="40"/>
        <v>4.6733045649561284E-3</v>
      </c>
      <c r="K69" s="2"/>
      <c r="L69" s="7">
        <f t="shared" si="41"/>
        <v>243.65666666666704</v>
      </c>
      <c r="M69" s="2"/>
      <c r="N69" s="6">
        <f t="shared" si="42"/>
        <v>0.48698867421718961</v>
      </c>
      <c r="O69" s="11"/>
      <c r="P69" s="7">
        <v>6069.17</v>
      </c>
      <c r="Q69" s="2"/>
      <c r="R69" s="6">
        <f t="shared" si="43"/>
        <v>1.3208399174891E-2</v>
      </c>
      <c r="S69" s="2"/>
      <c r="T69" s="7">
        <v>4309.3333333333303</v>
      </c>
      <c r="U69" s="2"/>
      <c r="V69" s="6">
        <f t="shared" si="44"/>
        <v>5.6544471474521268E-3</v>
      </c>
      <c r="W69" s="2"/>
      <c r="X69" s="7">
        <f t="shared" si="45"/>
        <v>1759.8366666666698</v>
      </c>
      <c r="Y69" s="2"/>
      <c r="Z69" s="6">
        <f t="shared" si="46"/>
        <v>0.40837793935643663</v>
      </c>
    </row>
    <row r="70" spans="1:26" s="25" customFormat="1" outlineLevel="1" collapsed="1" x14ac:dyDescent="0.25">
      <c r="A70" s="27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SUM(OSRRefD22_8x_0)</f>
        <v>33.24</v>
      </c>
      <c r="E70" s="1"/>
      <c r="F70" s="5">
        <f t="shared" si="39"/>
        <v>4.5447516527022202E-4</v>
      </c>
      <c r="G70" s="1"/>
      <c r="H70" s="1">
        <f>SUM(OSRRefH22_8x_0)</f>
        <v>0</v>
      </c>
      <c r="I70" s="1"/>
      <c r="J70" s="5">
        <f t="shared" si="40"/>
        <v>0</v>
      </c>
      <c r="K70" s="1"/>
      <c r="L70" s="1">
        <f t="shared" si="41"/>
        <v>33.24</v>
      </c>
      <c r="M70" s="1"/>
      <c r="N70" s="5">
        <f t="shared" si="42"/>
        <v>0</v>
      </c>
      <c r="O70" s="13"/>
      <c r="P70" s="1">
        <f>SUM(OSRRefP22_8x_0)</f>
        <v>277.65000000000003</v>
      </c>
      <c r="Q70" s="1"/>
      <c r="R70" s="5">
        <f t="shared" si="43"/>
        <v>6.0425264589861324E-4</v>
      </c>
      <c r="S70" s="1"/>
      <c r="T70" s="1">
        <f>SUM(OSRRefT22_8x_0)</f>
        <v>0</v>
      </c>
      <c r="U70" s="1"/>
      <c r="V70" s="5">
        <f t="shared" si="44"/>
        <v>0</v>
      </c>
      <c r="W70" s="1"/>
      <c r="X70" s="1">
        <f t="shared" si="45"/>
        <v>277.65000000000003</v>
      </c>
      <c r="Y70" s="1"/>
      <c r="Z70" s="5">
        <f t="shared" si="46"/>
        <v>0</v>
      </c>
    </row>
    <row r="71" spans="1:26" s="24" customFormat="1" hidden="1" outlineLevel="2" x14ac:dyDescent="0.25">
      <c r="A71" s="26"/>
      <c r="B71" s="11" t="str">
        <f>CONCATENATE("          ", "6305", " - ", "FREIGHT OUT")</f>
        <v xml:space="preserve">          6305 - FREIGHT OUT</v>
      </c>
      <c r="C71" s="11"/>
      <c r="D71" s="7">
        <v>30.28</v>
      </c>
      <c r="E71" s="2"/>
      <c r="F71" s="6">
        <f t="shared" si="39"/>
        <v>4.1400445259874618E-4</v>
      </c>
      <c r="G71" s="2"/>
      <c r="H71" s="7"/>
      <c r="I71" s="2"/>
      <c r="J71" s="6">
        <f t="shared" si="40"/>
        <v>0</v>
      </c>
      <c r="K71" s="2"/>
      <c r="L71" s="7">
        <f t="shared" si="41"/>
        <v>30.28</v>
      </c>
      <c r="M71" s="2"/>
      <c r="N71" s="6">
        <f t="shared" si="42"/>
        <v>0</v>
      </c>
      <c r="O71" s="11"/>
      <c r="P71" s="7">
        <v>280.10000000000002</v>
      </c>
      <c r="Q71" s="2"/>
      <c r="R71" s="6">
        <f t="shared" si="43"/>
        <v>6.0958460693751688E-4</v>
      </c>
      <c r="S71" s="2"/>
      <c r="T71" s="7"/>
      <c r="U71" s="2"/>
      <c r="V71" s="6">
        <f t="shared" si="44"/>
        <v>0</v>
      </c>
      <c r="W71" s="2"/>
      <c r="X71" s="7">
        <f t="shared" si="45"/>
        <v>280.10000000000002</v>
      </c>
      <c r="Y71" s="2"/>
      <c r="Z71" s="6">
        <f t="shared" si="46"/>
        <v>0</v>
      </c>
    </row>
    <row r="72" spans="1:26" s="24" customFormat="1" hidden="1" outlineLevel="2" x14ac:dyDescent="0.25">
      <c r="A72" s="26"/>
      <c r="B72" s="11" t="str">
        <f>CONCATENATE("          ", "6307", " - ", "POSTAGE")</f>
        <v xml:space="preserve">          6307 - POSTAGE</v>
      </c>
      <c r="C72" s="11"/>
      <c r="D72" s="7">
        <v>2.96</v>
      </c>
      <c r="E72" s="2"/>
      <c r="F72" s="6">
        <f t="shared" si="39"/>
        <v>4.0470712671475846E-5</v>
      </c>
      <c r="G72" s="2"/>
      <c r="H72" s="7"/>
      <c r="I72" s="2"/>
      <c r="J72" s="6">
        <f t="shared" si="40"/>
        <v>0</v>
      </c>
      <c r="K72" s="2"/>
      <c r="L72" s="7">
        <f t="shared" si="41"/>
        <v>2.96</v>
      </c>
      <c r="M72" s="2"/>
      <c r="N72" s="6">
        <f t="shared" si="42"/>
        <v>0</v>
      </c>
      <c r="O72" s="11"/>
      <c r="P72" s="7">
        <v>-2.4500000000000002</v>
      </c>
      <c r="Q72" s="2"/>
      <c r="R72" s="6">
        <f t="shared" si="43"/>
        <v>-5.3319610389036641E-6</v>
      </c>
      <c r="S72" s="2"/>
      <c r="T72" s="7"/>
      <c r="U72" s="2"/>
      <c r="V72" s="6">
        <f t="shared" si="44"/>
        <v>0</v>
      </c>
      <c r="W72" s="2"/>
      <c r="X72" s="7">
        <f t="shared" si="45"/>
        <v>-2.4500000000000002</v>
      </c>
      <c r="Y72" s="2"/>
      <c r="Z72" s="6">
        <f t="shared" si="46"/>
        <v>0</v>
      </c>
    </row>
    <row r="73" spans="1:26" s="25" customFormat="1" outlineLevel="1" collapsed="1" x14ac:dyDescent="0.25">
      <c r="A73" s="27"/>
      <c r="B73" s="13" t="str">
        <f>CONCATENATE("     ","General                                           ")</f>
        <v xml:space="preserve">     General                                           </v>
      </c>
      <c r="C73" s="13"/>
      <c r="D73" s="1">
        <f>SUM(OSRRefD22_9x_0)</f>
        <v>325</v>
      </c>
      <c r="E73" s="1"/>
      <c r="F73" s="5">
        <f t="shared" ref="F73:F85" si="47">IF(D$12=0,0,D73/D$12)</f>
        <v>4.4435748710235307E-3</v>
      </c>
      <c r="G73" s="1"/>
      <c r="H73" s="1">
        <f>SUM(OSRRefH22_9x_0)</f>
        <v>0</v>
      </c>
      <c r="I73" s="1"/>
      <c r="J73" s="5">
        <f t="shared" ref="J73:J85" si="48">IF(H$12=0,0,H73/H$12)</f>
        <v>0</v>
      </c>
      <c r="K73" s="1"/>
      <c r="L73" s="1">
        <f t="shared" ref="L73:L85" si="49">+D73-H73</f>
        <v>325</v>
      </c>
      <c r="M73" s="1"/>
      <c r="N73" s="5">
        <f t="shared" ref="N73:N85" si="50">IF(H73=0,0,L73/H73)</f>
        <v>0</v>
      </c>
      <c r="O73" s="13"/>
      <c r="P73" s="1">
        <f>SUM(OSRRefP22_9x_0)</f>
        <v>11185.34</v>
      </c>
      <c r="Q73" s="1"/>
      <c r="R73" s="5">
        <f t="shared" ref="R73:R85" si="51">IF(P$12=0,0,P73/P$12)</f>
        <v>2.4342774321179879E-2</v>
      </c>
      <c r="S73" s="1"/>
      <c r="T73" s="1">
        <f>SUM(OSRRefT22_9x_0)</f>
        <v>9760</v>
      </c>
      <c r="U73" s="1"/>
      <c r="V73" s="5">
        <f t="shared" ref="V73:V85" si="52">IF(T$12=0,0,T73/T$12)</f>
        <v>1.2806483019600742E-2</v>
      </c>
      <c r="W73" s="1"/>
      <c r="X73" s="1">
        <f t="shared" ref="X73:X85" si="53">+P73-T73</f>
        <v>1425.3400000000001</v>
      </c>
      <c r="Y73" s="1"/>
      <c r="Z73" s="5">
        <f t="shared" ref="Z73:Z85" si="54">IF(T73=0,0,X73/T73)</f>
        <v>0.14603893442622953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7">
        <v>325</v>
      </c>
      <c r="E74" s="2"/>
      <c r="F74" s="6">
        <f t="shared" si="47"/>
        <v>4.4435748710235307E-3</v>
      </c>
      <c r="G74" s="2"/>
      <c r="H74" s="7">
        <v>0</v>
      </c>
      <c r="I74" s="2"/>
      <c r="J74" s="6">
        <f t="shared" si="48"/>
        <v>0</v>
      </c>
      <c r="K74" s="2"/>
      <c r="L74" s="7">
        <f t="shared" si="49"/>
        <v>325</v>
      </c>
      <c r="M74" s="2"/>
      <c r="N74" s="6">
        <f t="shared" si="50"/>
        <v>0</v>
      </c>
      <c r="O74" s="11"/>
      <c r="P74" s="7">
        <v>11185.34</v>
      </c>
      <c r="Q74" s="2"/>
      <c r="R74" s="6">
        <f t="shared" si="51"/>
        <v>2.4342774321179879E-2</v>
      </c>
      <c r="S74" s="2"/>
      <c r="T74" s="7">
        <v>9760</v>
      </c>
      <c r="U74" s="2"/>
      <c r="V74" s="6">
        <f t="shared" si="52"/>
        <v>1.2806483019600742E-2</v>
      </c>
      <c r="W74" s="2"/>
      <c r="X74" s="7">
        <f t="shared" si="53"/>
        <v>1425.3400000000001</v>
      </c>
      <c r="Y74" s="2"/>
      <c r="Z74" s="6">
        <f t="shared" si="54"/>
        <v>0.14603893442622953</v>
      </c>
    </row>
    <row r="75" spans="1:26" s="25" customFormat="1" outlineLevel="1" collapsed="1" x14ac:dyDescent="0.25">
      <c r="A75" s="27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4483.67</v>
      </c>
      <c r="E75" s="1"/>
      <c r="F75" s="5">
        <f t="shared" si="47"/>
        <v>6.1303148744498687E-2</v>
      </c>
      <c r="G75" s="1"/>
      <c r="H75" s="1">
        <f>SUM(OSRRefH22_10x_0)</f>
        <v>4835</v>
      </c>
      <c r="I75" s="1"/>
      <c r="J75" s="5">
        <f t="shared" si="48"/>
        <v>4.5160747977807253E-2</v>
      </c>
      <c r="K75" s="1"/>
      <c r="L75" s="1">
        <f t="shared" si="49"/>
        <v>-351.32999999999993</v>
      </c>
      <c r="M75" s="1"/>
      <c r="N75" s="5">
        <f t="shared" si="50"/>
        <v>-7.2663908996897605E-2</v>
      </c>
      <c r="O75" s="13"/>
      <c r="P75" s="1">
        <f>SUM(OSRRefP22_10x_0)</f>
        <v>50948.7</v>
      </c>
      <c r="Q75" s="1"/>
      <c r="R75" s="5">
        <f t="shared" si="51"/>
        <v>0.1108801972990984</v>
      </c>
      <c r="S75" s="1"/>
      <c r="T75" s="1">
        <f>SUM(OSRRefT22_10x_0)</f>
        <v>48350</v>
      </c>
      <c r="U75" s="1"/>
      <c r="V75" s="5">
        <f t="shared" si="52"/>
        <v>6.3441952253862288E-2</v>
      </c>
      <c r="W75" s="1"/>
      <c r="X75" s="1">
        <f t="shared" si="53"/>
        <v>2598.6999999999971</v>
      </c>
      <c r="Y75" s="1"/>
      <c r="Z75" s="5">
        <f t="shared" si="54"/>
        <v>5.3747673216132309E-2</v>
      </c>
    </row>
    <row r="76" spans="1:26" s="24" customFormat="1" hidden="1" outlineLevel="2" x14ac:dyDescent="0.25">
      <c r="A76" s="26"/>
      <c r="B76" s="11" t="str">
        <f>CONCATENATE("          ", "6314", " - ", "LIABILITY INSURANCE")</f>
        <v xml:space="preserve">          6314 - LIABILITY INSURANCE</v>
      </c>
      <c r="C76" s="11"/>
      <c r="D76" s="7">
        <v>4483.67</v>
      </c>
      <c r="E76" s="2"/>
      <c r="F76" s="6">
        <f t="shared" si="47"/>
        <v>6.1303148744498687E-2</v>
      </c>
      <c r="G76" s="2"/>
      <c r="H76" s="7">
        <v>4835</v>
      </c>
      <c r="I76" s="2"/>
      <c r="J76" s="6">
        <f t="shared" si="48"/>
        <v>4.5160747977807253E-2</v>
      </c>
      <c r="K76" s="2"/>
      <c r="L76" s="7">
        <f t="shared" si="49"/>
        <v>-351.32999999999993</v>
      </c>
      <c r="M76" s="2"/>
      <c r="N76" s="6">
        <f t="shared" si="50"/>
        <v>-7.2663908996897605E-2</v>
      </c>
      <c r="O76" s="11"/>
      <c r="P76" s="7">
        <v>50948.7</v>
      </c>
      <c r="Q76" s="2"/>
      <c r="R76" s="6">
        <f t="shared" si="51"/>
        <v>0.1108801972990984</v>
      </c>
      <c r="S76" s="2"/>
      <c r="T76" s="7">
        <v>48350</v>
      </c>
      <c r="U76" s="2"/>
      <c r="V76" s="6">
        <f t="shared" si="52"/>
        <v>6.3441952253862288E-2</v>
      </c>
      <c r="W76" s="2"/>
      <c r="X76" s="7">
        <f t="shared" si="53"/>
        <v>2598.6999999999971</v>
      </c>
      <c r="Y76" s="2"/>
      <c r="Z76" s="6">
        <f t="shared" si="54"/>
        <v>5.3747673216132309E-2</v>
      </c>
    </row>
    <row r="77" spans="1:26" s="25" customFormat="1" outlineLevel="1" collapsed="1" x14ac:dyDescent="0.25">
      <c r="A77" s="27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9180</v>
      </c>
      <c r="E77" s="1"/>
      <c r="F77" s="5">
        <f t="shared" si="47"/>
        <v>0.12551389943383387</v>
      </c>
      <c r="G77" s="1"/>
      <c r="H77" s="1">
        <f>SUM(OSRRefH22_11x_0)</f>
        <v>11554</v>
      </c>
      <c r="I77" s="1"/>
      <c r="J77" s="5">
        <f t="shared" si="48"/>
        <v>0.1079187760363154</v>
      </c>
      <c r="K77" s="1"/>
      <c r="L77" s="1">
        <f t="shared" si="49"/>
        <v>-2374</v>
      </c>
      <c r="M77" s="1"/>
      <c r="N77" s="5">
        <f t="shared" si="50"/>
        <v>-0.20546996711095725</v>
      </c>
      <c r="O77" s="13"/>
      <c r="P77" s="1">
        <f>SUM(OSRRefP22_11x_0)</f>
        <v>112417</v>
      </c>
      <c r="Q77" s="1"/>
      <c r="R77" s="5">
        <f t="shared" si="51"/>
        <v>0.24465431188180944</v>
      </c>
      <c r="S77" s="1"/>
      <c r="T77" s="1">
        <f>SUM(OSRRefT22_11x_0)</f>
        <v>115540</v>
      </c>
      <c r="U77" s="1"/>
      <c r="V77" s="5">
        <f t="shared" si="52"/>
        <v>0.15160461558244567</v>
      </c>
      <c r="W77" s="1"/>
      <c r="X77" s="1">
        <f t="shared" si="53"/>
        <v>-3123</v>
      </c>
      <c r="Y77" s="1"/>
      <c r="Z77" s="5">
        <f t="shared" si="54"/>
        <v>-2.702960013848018E-2</v>
      </c>
    </row>
    <row r="78" spans="1:26" s="24" customFormat="1" hidden="1" outlineLevel="2" x14ac:dyDescent="0.25">
      <c r="A78" s="26"/>
      <c r="B78" s="11" t="str">
        <f>CONCATENATE("          ", "6401", " - ", "INTEREST EXPENSE")</f>
        <v xml:space="preserve">          6401 - INTEREST EXPENSE</v>
      </c>
      <c r="C78" s="11"/>
      <c r="D78" s="7">
        <v>9180</v>
      </c>
      <c r="E78" s="2"/>
      <c r="F78" s="6">
        <f t="shared" si="47"/>
        <v>0.12551389943383387</v>
      </c>
      <c r="G78" s="2"/>
      <c r="H78" s="7">
        <v>11554</v>
      </c>
      <c r="I78" s="2"/>
      <c r="J78" s="6">
        <f t="shared" si="48"/>
        <v>0.1079187760363154</v>
      </c>
      <c r="K78" s="2"/>
      <c r="L78" s="7">
        <f t="shared" si="49"/>
        <v>-2374</v>
      </c>
      <c r="M78" s="2"/>
      <c r="N78" s="6">
        <f t="shared" si="50"/>
        <v>-0.20546996711095725</v>
      </c>
      <c r="O78" s="11"/>
      <c r="P78" s="7">
        <v>112417</v>
      </c>
      <c r="Q78" s="2"/>
      <c r="R78" s="6">
        <f t="shared" si="51"/>
        <v>0.24465431188180944</v>
      </c>
      <c r="S78" s="2"/>
      <c r="T78" s="7">
        <v>115540</v>
      </c>
      <c r="U78" s="2"/>
      <c r="V78" s="6">
        <f t="shared" si="52"/>
        <v>0.15160461558244567</v>
      </c>
      <c r="W78" s="2"/>
      <c r="X78" s="7">
        <f t="shared" si="53"/>
        <v>-3123</v>
      </c>
      <c r="Y78" s="2"/>
      <c r="Z78" s="6">
        <f t="shared" si="54"/>
        <v>-2.702960013848018E-2</v>
      </c>
    </row>
    <row r="79" spans="1:26" s="25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SUM(OSRRefD22_12x_0)</f>
        <v>1850</v>
      </c>
      <c r="E79" s="1"/>
      <c r="F79" s="5">
        <f t="shared" si="47"/>
        <v>2.5294195419672403E-2</v>
      </c>
      <c r="G79" s="1"/>
      <c r="H79" s="1">
        <f>SUM(OSRRefH22_12x_0)</f>
        <v>1943</v>
      </c>
      <c r="I79" s="1"/>
      <c r="J79" s="5">
        <f t="shared" si="48"/>
        <v>1.8148362630998862E-2</v>
      </c>
      <c r="K79" s="1"/>
      <c r="L79" s="1">
        <f t="shared" si="49"/>
        <v>-93</v>
      </c>
      <c r="M79" s="1"/>
      <c r="N79" s="5">
        <f t="shared" si="50"/>
        <v>-4.7864127637673698E-2</v>
      </c>
      <c r="O79" s="13"/>
      <c r="P79" s="1">
        <f>SUM(OSRRefP22_12x_0)</f>
        <v>12950</v>
      </c>
      <c r="Q79" s="1"/>
      <c r="R79" s="5">
        <f t="shared" si="51"/>
        <v>2.8183222634205078E-2</v>
      </c>
      <c r="S79" s="1"/>
      <c r="T79" s="1">
        <f>SUM(OSRRefT22_12x_0)</f>
        <v>19430</v>
      </c>
      <c r="U79" s="1"/>
      <c r="V79" s="5">
        <f t="shared" si="52"/>
        <v>2.54948734703732E-2</v>
      </c>
      <c r="W79" s="1"/>
      <c r="X79" s="1">
        <f t="shared" si="53"/>
        <v>-6480</v>
      </c>
      <c r="Y79" s="1"/>
      <c r="Z79" s="5">
        <f t="shared" si="54"/>
        <v>-0.33350488934637157</v>
      </c>
    </row>
    <row r="80" spans="1:26" s="24" customFormat="1" hidden="1" outlineLevel="2" x14ac:dyDescent="0.25">
      <c r="A80" s="26"/>
      <c r="B80" s="11" t="str">
        <f>CONCATENATE("          ", "6273", " - ", "RENT")</f>
        <v xml:space="preserve">          6273 - RENT</v>
      </c>
      <c r="C80" s="11"/>
      <c r="D80" s="7">
        <v>1850</v>
      </c>
      <c r="E80" s="2"/>
      <c r="F80" s="6">
        <f t="shared" si="47"/>
        <v>2.5294195419672403E-2</v>
      </c>
      <c r="G80" s="2"/>
      <c r="H80" s="7">
        <v>1943</v>
      </c>
      <c r="I80" s="2"/>
      <c r="J80" s="6">
        <f t="shared" si="48"/>
        <v>1.8148362630998862E-2</v>
      </c>
      <c r="K80" s="2"/>
      <c r="L80" s="7">
        <f t="shared" si="49"/>
        <v>-93</v>
      </c>
      <c r="M80" s="2"/>
      <c r="N80" s="6">
        <f t="shared" si="50"/>
        <v>-4.7864127637673698E-2</v>
      </c>
      <c r="O80" s="11"/>
      <c r="P80" s="7">
        <v>12950</v>
      </c>
      <c r="Q80" s="2"/>
      <c r="R80" s="6">
        <f t="shared" si="51"/>
        <v>2.8183222634205078E-2</v>
      </c>
      <c r="S80" s="2"/>
      <c r="T80" s="7">
        <v>19430</v>
      </c>
      <c r="U80" s="2"/>
      <c r="V80" s="6">
        <f t="shared" si="52"/>
        <v>2.54948734703732E-2</v>
      </c>
      <c r="W80" s="2"/>
      <c r="X80" s="7">
        <f t="shared" si="53"/>
        <v>-6480</v>
      </c>
      <c r="Y80" s="2"/>
      <c r="Z80" s="6">
        <f t="shared" si="54"/>
        <v>-0.33350488934637157</v>
      </c>
    </row>
    <row r="81" spans="1:26" s="25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SUM(OSRRefD22_13x_0)</f>
        <v>2052.63</v>
      </c>
      <c r="E81" s="1"/>
      <c r="F81" s="5">
        <f t="shared" si="47"/>
        <v>2.806466180772009E-2</v>
      </c>
      <c r="G81" s="1"/>
      <c r="H81" s="1">
        <f>SUM(OSRRefH22_13x_0)</f>
        <v>1285</v>
      </c>
      <c r="I81" s="1"/>
      <c r="J81" s="5">
        <f t="shared" si="48"/>
        <v>1.2002391137845361E-2</v>
      </c>
      <c r="K81" s="1"/>
      <c r="L81" s="1">
        <f t="shared" si="49"/>
        <v>767.63000000000011</v>
      </c>
      <c r="M81" s="1"/>
      <c r="N81" s="5">
        <f t="shared" si="50"/>
        <v>0.59737743190661485</v>
      </c>
      <c r="O81" s="13"/>
      <c r="P81" s="1">
        <f>SUM(OSRRefP22_13x_0)</f>
        <v>46732.959999999999</v>
      </c>
      <c r="Q81" s="1"/>
      <c r="R81" s="5">
        <f t="shared" si="51"/>
        <v>0.10170543753169116</v>
      </c>
      <c r="S81" s="1"/>
      <c r="T81" s="1">
        <f>SUM(OSRRefT22_13x_0)</f>
        <v>26855</v>
      </c>
      <c r="U81" s="1"/>
      <c r="V81" s="5">
        <f t="shared" si="52"/>
        <v>3.5237510398706755E-2</v>
      </c>
      <c r="W81" s="1"/>
      <c r="X81" s="1">
        <f t="shared" si="53"/>
        <v>19877.96</v>
      </c>
      <c r="Y81" s="1"/>
      <c r="Z81" s="5">
        <f t="shared" si="54"/>
        <v>0.74019586669149129</v>
      </c>
    </row>
    <row r="82" spans="1:26" s="24" customFormat="1" hidden="1" outlineLevel="2" x14ac:dyDescent="0.25">
      <c r="A82" s="26"/>
      <c r="B82" s="11" t="str">
        <f>CONCATENATE("          ", "6371", " - ", "COMPUTER SOFTWARE MAINTENANCE")</f>
        <v xml:space="preserve">          6371 - COMPUTER SOFTWARE MAINTENANCE</v>
      </c>
      <c r="C82" s="11"/>
      <c r="D82" s="7"/>
      <c r="E82" s="2"/>
      <c r="F82" s="6">
        <f t="shared" si="47"/>
        <v>0</v>
      </c>
      <c r="G82" s="2"/>
      <c r="H82" s="7"/>
      <c r="I82" s="2"/>
      <c r="J82" s="6">
        <f t="shared" si="48"/>
        <v>0</v>
      </c>
      <c r="K82" s="2"/>
      <c r="L82" s="7">
        <f t="shared" si="49"/>
        <v>0</v>
      </c>
      <c r="M82" s="2"/>
      <c r="N82" s="6">
        <f t="shared" si="50"/>
        <v>0</v>
      </c>
      <c r="O82" s="11"/>
      <c r="P82" s="7">
        <v>702.27</v>
      </c>
      <c r="Q82" s="2"/>
      <c r="R82" s="6">
        <f t="shared" si="51"/>
        <v>1.5283576648126025E-3</v>
      </c>
      <c r="S82" s="2"/>
      <c r="T82" s="7">
        <v>43</v>
      </c>
      <c r="U82" s="2"/>
      <c r="V82" s="6">
        <f t="shared" si="52"/>
        <v>5.6422005106847531E-5</v>
      </c>
      <c r="W82" s="2"/>
      <c r="X82" s="7">
        <f t="shared" si="53"/>
        <v>659.27</v>
      </c>
      <c r="Y82" s="2"/>
      <c r="Z82" s="6">
        <f t="shared" si="54"/>
        <v>15.331860465116279</v>
      </c>
    </row>
    <row r="83" spans="1:26" s="24" customFormat="1" hidden="1" outlineLevel="2" x14ac:dyDescent="0.25">
      <c r="A83" s="26"/>
      <c r="B83" s="11" t="str">
        <f>CONCATENATE("          ", "6372", " - ", "COMPUTER HARDWARE MAINTENANCE")</f>
        <v xml:space="preserve">          6372 - COMPUTER HARDWARE MAINTENANCE</v>
      </c>
      <c r="C83" s="11"/>
      <c r="D83" s="7"/>
      <c r="E83" s="2"/>
      <c r="F83" s="6">
        <f t="shared" si="47"/>
        <v>0</v>
      </c>
      <c r="G83" s="2"/>
      <c r="H83" s="7"/>
      <c r="I83" s="2"/>
      <c r="J83" s="6">
        <f t="shared" si="48"/>
        <v>0</v>
      </c>
      <c r="K83" s="2"/>
      <c r="L83" s="7">
        <f t="shared" si="49"/>
        <v>0</v>
      </c>
      <c r="M83" s="2"/>
      <c r="N83" s="6">
        <f t="shared" si="50"/>
        <v>0</v>
      </c>
      <c r="O83" s="11"/>
      <c r="P83" s="7">
        <v>100</v>
      </c>
      <c r="Q83" s="2"/>
      <c r="R83" s="6">
        <f t="shared" si="51"/>
        <v>2.1763106281239445E-4</v>
      </c>
      <c r="S83" s="2"/>
      <c r="T83" s="7">
        <v>437</v>
      </c>
      <c r="U83" s="2"/>
      <c r="V83" s="6">
        <f t="shared" si="52"/>
        <v>5.7340502864400864E-4</v>
      </c>
      <c r="W83" s="2"/>
      <c r="X83" s="7">
        <f t="shared" si="53"/>
        <v>-337</v>
      </c>
      <c r="Y83" s="2"/>
      <c r="Z83" s="6">
        <f t="shared" si="54"/>
        <v>-0.77116704805491987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7"/>
      <c r="E84" s="2"/>
      <c r="F84" s="6">
        <f t="shared" si="47"/>
        <v>0</v>
      </c>
      <c r="G84" s="2"/>
      <c r="H84" s="7">
        <v>0</v>
      </c>
      <c r="I84" s="2"/>
      <c r="J84" s="6">
        <f t="shared" si="48"/>
        <v>0</v>
      </c>
      <c r="K84" s="2"/>
      <c r="L84" s="7">
        <f t="shared" si="49"/>
        <v>0</v>
      </c>
      <c r="M84" s="2"/>
      <c r="N84" s="6">
        <f t="shared" si="50"/>
        <v>0</v>
      </c>
      <c r="O84" s="11"/>
      <c r="P84" s="7">
        <v>19481.849999999999</v>
      </c>
      <c r="Q84" s="2"/>
      <c r="R84" s="6">
        <f t="shared" si="51"/>
        <v>4.2398557210516462E-2</v>
      </c>
      <c r="S84" s="2"/>
      <c r="T84" s="7">
        <v>4000</v>
      </c>
      <c r="U84" s="2"/>
      <c r="V84" s="6">
        <f t="shared" si="52"/>
        <v>5.2485586145904683E-3</v>
      </c>
      <c r="W84" s="2"/>
      <c r="X84" s="7">
        <f t="shared" si="53"/>
        <v>15481.849999999999</v>
      </c>
      <c r="Y84" s="2"/>
      <c r="Z84" s="6">
        <f t="shared" si="54"/>
        <v>3.8704624999999995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2052.63</v>
      </c>
      <c r="E85" s="2"/>
      <c r="F85" s="6">
        <f t="shared" si="47"/>
        <v>2.806466180772009E-2</v>
      </c>
      <c r="G85" s="2"/>
      <c r="H85" s="7">
        <v>1285</v>
      </c>
      <c r="I85" s="2"/>
      <c r="J85" s="6">
        <f t="shared" si="48"/>
        <v>1.2002391137845361E-2</v>
      </c>
      <c r="K85" s="2"/>
      <c r="L85" s="7">
        <f t="shared" si="49"/>
        <v>767.63000000000011</v>
      </c>
      <c r="M85" s="2"/>
      <c r="N85" s="6">
        <f t="shared" si="50"/>
        <v>0.59737743190661485</v>
      </c>
      <c r="O85" s="11"/>
      <c r="P85" s="7">
        <v>26448.84</v>
      </c>
      <c r="Q85" s="2"/>
      <c r="R85" s="6">
        <f t="shared" si="51"/>
        <v>5.7560891593549705E-2</v>
      </c>
      <c r="S85" s="2"/>
      <c r="T85" s="7">
        <v>22375</v>
      </c>
      <c r="U85" s="2"/>
      <c r="V85" s="6">
        <f t="shared" si="52"/>
        <v>2.935912475036543E-2</v>
      </c>
      <c r="W85" s="2"/>
      <c r="X85" s="7">
        <f t="shared" si="53"/>
        <v>4073.84</v>
      </c>
      <c r="Y85" s="2"/>
      <c r="Z85" s="6">
        <f t="shared" si="54"/>
        <v>0.18207106145251398</v>
      </c>
    </row>
    <row r="86" spans="1:26" s="25" customFormat="1" outlineLevel="1" collapsed="1" x14ac:dyDescent="0.25">
      <c r="A86" s="27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SUM(OSRRefD22_14x_0)</f>
        <v>0</v>
      </c>
      <c r="E86" s="1"/>
      <c r="F86" s="5">
        <f t="shared" ref="F86:F88" si="55">IF(D$12=0,0,D86/D$12)</f>
        <v>0</v>
      </c>
      <c r="G86" s="1"/>
      <c r="H86" s="1">
        <f>SUM(OSRRefH22_14x_0)</f>
        <v>1551</v>
      </c>
      <c r="I86" s="1"/>
      <c r="J86" s="5">
        <f t="shared" ref="J86:J88" si="56">IF(H$12=0,0,H86/H$12)</f>
        <v>1.4486932805290393E-2</v>
      </c>
      <c r="K86" s="1"/>
      <c r="L86" s="1">
        <f t="shared" ref="L86:L88" si="57">+D86-H86</f>
        <v>-1551</v>
      </c>
      <c r="M86" s="1"/>
      <c r="N86" s="5">
        <f t="shared" ref="N86:N88" si="58">IF(H86=0,0,L86/H86)</f>
        <v>-1</v>
      </c>
      <c r="O86" s="13"/>
      <c r="P86" s="1">
        <f>SUM(OSRRefP22_14x_0)</f>
        <v>185.7</v>
      </c>
      <c r="Q86" s="1"/>
      <c r="R86" s="5">
        <f t="shared" ref="R86:R88" si="59">IF(P$12=0,0,P86/P$12)</f>
        <v>4.0414088364261642E-4</v>
      </c>
      <c r="S86" s="1"/>
      <c r="T86" s="1">
        <f>SUM(OSRRefT22_14x_0)</f>
        <v>9553</v>
      </c>
      <c r="U86" s="1"/>
      <c r="V86" s="5">
        <f t="shared" ref="V86:V88" si="60">IF(T$12=0,0,T86/T$12)</f>
        <v>1.2534870111295686E-2</v>
      </c>
      <c r="W86" s="1"/>
      <c r="X86" s="1">
        <f t="shared" ref="X86:X88" si="61">+P86-T86</f>
        <v>-9367.2999999999993</v>
      </c>
      <c r="Y86" s="1"/>
      <c r="Z86" s="5">
        <f t="shared" ref="Z86:Z88" si="62">IF(T86=0,0,X86/T86)</f>
        <v>-0.98056108028891442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55"/>
        <v>0</v>
      </c>
      <c r="G87" s="2"/>
      <c r="H87" s="7">
        <v>0</v>
      </c>
      <c r="I87" s="2"/>
      <c r="J87" s="6">
        <f t="shared" si="56"/>
        <v>0</v>
      </c>
      <c r="K87" s="2"/>
      <c r="L87" s="7">
        <f t="shared" si="57"/>
        <v>0</v>
      </c>
      <c r="M87" s="2"/>
      <c r="N87" s="6">
        <f t="shared" si="58"/>
        <v>0</v>
      </c>
      <c r="O87" s="11"/>
      <c r="P87" s="7">
        <v>185.7</v>
      </c>
      <c r="Q87" s="2"/>
      <c r="R87" s="6">
        <f t="shared" si="59"/>
        <v>4.0414088364261642E-4</v>
      </c>
      <c r="S87" s="2"/>
      <c r="T87" s="7">
        <v>0</v>
      </c>
      <c r="U87" s="2"/>
      <c r="V87" s="6">
        <f t="shared" si="60"/>
        <v>0</v>
      </c>
      <c r="W87" s="2"/>
      <c r="X87" s="7">
        <f t="shared" si="61"/>
        <v>185.7</v>
      </c>
      <c r="Y87" s="2"/>
      <c r="Z87" s="6">
        <f t="shared" si="62"/>
        <v>0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55"/>
        <v>0</v>
      </c>
      <c r="G88" s="2"/>
      <c r="H88" s="7">
        <v>1551</v>
      </c>
      <c r="I88" s="2"/>
      <c r="J88" s="6">
        <f t="shared" si="56"/>
        <v>1.4486932805290393E-2</v>
      </c>
      <c r="K88" s="2"/>
      <c r="L88" s="7">
        <f t="shared" si="57"/>
        <v>-1551</v>
      </c>
      <c r="M88" s="2"/>
      <c r="N88" s="6">
        <f t="shared" si="58"/>
        <v>-1</v>
      </c>
      <c r="O88" s="11"/>
      <c r="P88" s="7"/>
      <c r="Q88" s="2"/>
      <c r="R88" s="6">
        <f t="shared" si="59"/>
        <v>0</v>
      </c>
      <c r="S88" s="2"/>
      <c r="T88" s="7">
        <v>9553</v>
      </c>
      <c r="U88" s="2"/>
      <c r="V88" s="6">
        <f t="shared" si="60"/>
        <v>1.2534870111295686E-2</v>
      </c>
      <c r="W88" s="2"/>
      <c r="X88" s="7">
        <f t="shared" si="61"/>
        <v>-9553</v>
      </c>
      <c r="Y88" s="2"/>
      <c r="Z88" s="6">
        <f t="shared" si="62"/>
        <v>-1</v>
      </c>
    </row>
    <row r="89" spans="1:26" s="25" customFormat="1" outlineLevel="1" collapsed="1" x14ac:dyDescent="0.25">
      <c r="A89" s="27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SUM(OSRRefD22_15x_0)</f>
        <v>10905.37</v>
      </c>
      <c r="E89" s="1"/>
      <c r="F89" s="5">
        <f t="shared" ref="F89:F94" si="63">IF(D$12=0,0,D89/D$12)</f>
        <v>0.14910408643450426</v>
      </c>
      <c r="G89" s="1"/>
      <c r="H89" s="1">
        <f>SUM(OSRRefH22_15x_0)</f>
        <v>7771</v>
      </c>
      <c r="I89" s="1"/>
      <c r="J89" s="5">
        <f t="shared" ref="J89:J94" si="64">IF(H$12=0,0,H89/H$12)</f>
        <v>7.2584110141787006E-2</v>
      </c>
      <c r="K89" s="1"/>
      <c r="L89" s="1">
        <f t="shared" ref="L89:L94" si="65">+D89-H89</f>
        <v>3134.3700000000008</v>
      </c>
      <c r="M89" s="1"/>
      <c r="N89" s="5">
        <f t="shared" ref="N89:N94" si="66">IF(H89=0,0,L89/H89)</f>
        <v>0.40334191223780735</v>
      </c>
      <c r="O89" s="13"/>
      <c r="P89" s="1">
        <f>SUM(OSRRefP22_15x_0)</f>
        <v>57327.439999999995</v>
      </c>
      <c r="Q89" s="1"/>
      <c r="R89" s="5">
        <f t="shared" ref="R89:R94" si="67">IF(P$12=0,0,P89/P$12)</f>
        <v>0.12476231695513772</v>
      </c>
      <c r="S89" s="1"/>
      <c r="T89" s="1">
        <f>SUM(OSRRefT22_15x_0)</f>
        <v>82371</v>
      </c>
      <c r="U89" s="1"/>
      <c r="V89" s="5">
        <f t="shared" ref="V89:V94" si="68">IF(T$12=0,0,T89/T$12)</f>
        <v>0.10808225541060786</v>
      </c>
      <c r="W89" s="1"/>
      <c r="X89" s="1">
        <f t="shared" ref="X89:X94" si="69">+P89-T89</f>
        <v>-25043.560000000005</v>
      </c>
      <c r="Y89" s="1"/>
      <c r="Z89" s="5">
        <f t="shared" ref="Z89:Z94" si="70">IF(T89=0,0,X89/T89)</f>
        <v>-0.30403370118124101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1861.85</v>
      </c>
      <c r="E90" s="2"/>
      <c r="F90" s="6">
        <f t="shared" si="63"/>
        <v>2.5456214995738954E-2</v>
      </c>
      <c r="G90" s="2"/>
      <c r="H90" s="7">
        <v>626</v>
      </c>
      <c r="I90" s="2"/>
      <c r="J90" s="6">
        <f t="shared" si="64"/>
        <v>5.8470792624834211E-3</v>
      </c>
      <c r="K90" s="2"/>
      <c r="L90" s="7">
        <f t="shared" si="65"/>
        <v>1235.8499999999999</v>
      </c>
      <c r="M90" s="2"/>
      <c r="N90" s="6">
        <f t="shared" si="66"/>
        <v>1.9742012779552713</v>
      </c>
      <c r="O90" s="11"/>
      <c r="P90" s="7">
        <v>12202.24</v>
      </c>
      <c r="Q90" s="2"/>
      <c r="R90" s="6">
        <f t="shared" si="67"/>
        <v>2.6555864598919118E-2</v>
      </c>
      <c r="S90" s="2"/>
      <c r="T90" s="7">
        <v>11591</v>
      </c>
      <c r="U90" s="2"/>
      <c r="V90" s="6">
        <f t="shared" si="68"/>
        <v>1.5209010725429529E-2</v>
      </c>
      <c r="W90" s="2"/>
      <c r="X90" s="7">
        <f t="shared" si="69"/>
        <v>611.23999999999978</v>
      </c>
      <c r="Y90" s="2"/>
      <c r="Z90" s="6">
        <f t="shared" si="70"/>
        <v>5.273401777240961E-2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7"/>
      <c r="E91" s="2"/>
      <c r="F91" s="6">
        <f t="shared" si="63"/>
        <v>0</v>
      </c>
      <c r="G91" s="2"/>
      <c r="H91" s="7">
        <v>0</v>
      </c>
      <c r="I91" s="2"/>
      <c r="J91" s="6">
        <f t="shared" si="64"/>
        <v>0</v>
      </c>
      <c r="K91" s="2"/>
      <c r="L91" s="7">
        <f t="shared" si="65"/>
        <v>0</v>
      </c>
      <c r="M91" s="2"/>
      <c r="N91" s="6">
        <f t="shared" si="66"/>
        <v>0</v>
      </c>
      <c r="O91" s="11"/>
      <c r="P91" s="7"/>
      <c r="Q91" s="2"/>
      <c r="R91" s="6">
        <f t="shared" si="67"/>
        <v>0</v>
      </c>
      <c r="S91" s="2"/>
      <c r="T91" s="7">
        <v>310</v>
      </c>
      <c r="U91" s="2"/>
      <c r="V91" s="6">
        <f t="shared" si="68"/>
        <v>4.0676329263076129E-4</v>
      </c>
      <c r="W91" s="2"/>
      <c r="X91" s="7">
        <f t="shared" si="69"/>
        <v>-310</v>
      </c>
      <c r="Y91" s="2"/>
      <c r="Z91" s="6">
        <f t="shared" si="70"/>
        <v>-1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7">
        <v>5658</v>
      </c>
      <c r="E92" s="2"/>
      <c r="F92" s="6">
        <f t="shared" si="63"/>
        <v>7.7359220370003492E-2</v>
      </c>
      <c r="G92" s="2"/>
      <c r="H92" s="7">
        <v>3550</v>
      </c>
      <c r="I92" s="2"/>
      <c r="J92" s="6">
        <f t="shared" si="64"/>
        <v>3.3158356839961892E-2</v>
      </c>
      <c r="K92" s="2"/>
      <c r="L92" s="7">
        <f t="shared" si="65"/>
        <v>2108</v>
      </c>
      <c r="M92" s="2"/>
      <c r="N92" s="6">
        <f t="shared" si="66"/>
        <v>0.59380281690140846</v>
      </c>
      <c r="O92" s="11"/>
      <c r="P92" s="7">
        <v>27176</v>
      </c>
      <c r="Q92" s="2"/>
      <c r="R92" s="6">
        <f t="shared" si="67"/>
        <v>5.9143417629896312E-2</v>
      </c>
      <c r="S92" s="2"/>
      <c r="T92" s="7">
        <v>33291</v>
      </c>
      <c r="U92" s="2"/>
      <c r="V92" s="6">
        <f t="shared" si="68"/>
        <v>4.3682441209582819E-2</v>
      </c>
      <c r="W92" s="2"/>
      <c r="X92" s="7">
        <f t="shared" si="69"/>
        <v>-6115</v>
      </c>
      <c r="Y92" s="2"/>
      <c r="Z92" s="6">
        <f t="shared" si="70"/>
        <v>-0.1836832777627587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7">
        <v>3385.52</v>
      </c>
      <c r="E93" s="2"/>
      <c r="F93" s="6">
        <f t="shared" si="63"/>
        <v>4.6288651068761795E-2</v>
      </c>
      <c r="G93" s="2"/>
      <c r="H93" s="7">
        <v>3491</v>
      </c>
      <c r="I93" s="2"/>
      <c r="J93" s="6">
        <f t="shared" si="64"/>
        <v>3.260727428966393E-2</v>
      </c>
      <c r="K93" s="2"/>
      <c r="L93" s="7">
        <f t="shared" si="65"/>
        <v>-105.48000000000002</v>
      </c>
      <c r="M93" s="2"/>
      <c r="N93" s="6">
        <f t="shared" si="66"/>
        <v>-3.0214838155256378E-2</v>
      </c>
      <c r="O93" s="11"/>
      <c r="P93" s="7">
        <v>17044.490000000002</v>
      </c>
      <c r="Q93" s="2"/>
      <c r="R93" s="6">
        <f t="shared" si="67"/>
        <v>3.7094104737952292E-2</v>
      </c>
      <c r="S93" s="2"/>
      <c r="T93" s="7">
        <v>36146</v>
      </c>
      <c r="U93" s="2"/>
      <c r="V93" s="6">
        <f t="shared" si="68"/>
        <v>4.7428599920746765E-2</v>
      </c>
      <c r="W93" s="2"/>
      <c r="X93" s="7">
        <f t="shared" si="69"/>
        <v>-19101.509999999998</v>
      </c>
      <c r="Y93" s="2"/>
      <c r="Z93" s="6">
        <f t="shared" si="70"/>
        <v>-0.52845432412991755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7"/>
      <c r="E94" s="2"/>
      <c r="F94" s="6">
        <f t="shared" si="63"/>
        <v>0</v>
      </c>
      <c r="G94" s="2"/>
      <c r="H94" s="7">
        <v>104</v>
      </c>
      <c r="I94" s="2"/>
      <c r="J94" s="6">
        <f t="shared" si="64"/>
        <v>9.7139974967775679E-4</v>
      </c>
      <c r="K94" s="2"/>
      <c r="L94" s="7">
        <f t="shared" si="65"/>
        <v>-104</v>
      </c>
      <c r="M94" s="2"/>
      <c r="N94" s="6">
        <f t="shared" si="66"/>
        <v>-1</v>
      </c>
      <c r="O94" s="11"/>
      <c r="P94" s="7">
        <v>904.71</v>
      </c>
      <c r="Q94" s="2"/>
      <c r="R94" s="6">
        <f t="shared" si="67"/>
        <v>1.9689299883700138E-3</v>
      </c>
      <c r="S94" s="2"/>
      <c r="T94" s="7">
        <v>1033</v>
      </c>
      <c r="U94" s="2"/>
      <c r="V94" s="6">
        <f t="shared" si="68"/>
        <v>1.3554402622179883E-3</v>
      </c>
      <c r="W94" s="2"/>
      <c r="X94" s="7">
        <f t="shared" si="69"/>
        <v>-128.28999999999996</v>
      </c>
      <c r="Y94" s="2"/>
      <c r="Z94" s="6">
        <f t="shared" si="70"/>
        <v>-0.12419167473378506</v>
      </c>
    </row>
    <row r="95" spans="1:26" s="25" customFormat="1" outlineLevel="1" collapsed="1" x14ac:dyDescent="0.25">
      <c r="A95" s="27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SUM(OSRRefD22_16x_0)</f>
        <v>0</v>
      </c>
      <c r="E95" s="1"/>
      <c r="F95" s="5">
        <f t="shared" ref="F95:F97" si="71">IF(D$12=0,0,D95/D$12)</f>
        <v>0</v>
      </c>
      <c r="G95" s="1"/>
      <c r="H95" s="1">
        <f>SUM(OSRRefH22_16x_0)</f>
        <v>376</v>
      </c>
      <c r="I95" s="1"/>
      <c r="J95" s="5">
        <f t="shared" ref="J95:J97" si="72">IF(H$12=0,0,H95/H$12)</f>
        <v>3.5119837103734287E-3</v>
      </c>
      <c r="K95" s="1"/>
      <c r="L95" s="1">
        <f t="shared" ref="L95:L97" si="73">+D95-H95</f>
        <v>-376</v>
      </c>
      <c r="M95" s="1"/>
      <c r="N95" s="5">
        <f t="shared" ref="N95:N97" si="74">IF(H95=0,0,L95/H95)</f>
        <v>-1</v>
      </c>
      <c r="O95" s="13"/>
      <c r="P95" s="1">
        <f>SUM(OSRRefP22_16x_0)</f>
        <v>916.08</v>
      </c>
      <c r="Q95" s="1"/>
      <c r="R95" s="5">
        <f t="shared" ref="R95:R97" si="75">IF(P$12=0,0,P95/P$12)</f>
        <v>1.9936746402117829E-3</v>
      </c>
      <c r="S95" s="1"/>
      <c r="T95" s="1">
        <f>SUM(OSRRefT22_16x_0)</f>
        <v>4641</v>
      </c>
      <c r="U95" s="1"/>
      <c r="V95" s="5">
        <f t="shared" ref="V95:V97" si="76">IF(T$12=0,0,T95/T$12)</f>
        <v>6.0896401325785908E-3</v>
      </c>
      <c r="W95" s="1"/>
      <c r="X95" s="1">
        <f t="shared" ref="X95:X97" si="77">+P95-T95</f>
        <v>-3724.92</v>
      </c>
      <c r="Y95" s="1"/>
      <c r="Z95" s="5">
        <f t="shared" ref="Z95:Z97" si="78">IF(T95=0,0,X95/T95)</f>
        <v>-0.80261150614091792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7"/>
      <c r="E96" s="2"/>
      <c r="F96" s="6">
        <f t="shared" si="71"/>
        <v>0</v>
      </c>
      <c r="G96" s="2"/>
      <c r="H96" s="7"/>
      <c r="I96" s="2"/>
      <c r="J96" s="6">
        <f t="shared" si="72"/>
        <v>0</v>
      </c>
      <c r="K96" s="2"/>
      <c r="L96" s="7">
        <f t="shared" si="73"/>
        <v>0</v>
      </c>
      <c r="M96" s="2"/>
      <c r="N96" s="6">
        <f t="shared" si="74"/>
        <v>0</v>
      </c>
      <c r="O96" s="11"/>
      <c r="P96" s="7"/>
      <c r="Q96" s="2"/>
      <c r="R96" s="6">
        <f t="shared" si="75"/>
        <v>0</v>
      </c>
      <c r="S96" s="2"/>
      <c r="T96" s="7">
        <v>900</v>
      </c>
      <c r="U96" s="2"/>
      <c r="V96" s="6">
        <f t="shared" si="76"/>
        <v>1.1809256882828554E-3</v>
      </c>
      <c r="W96" s="2"/>
      <c r="X96" s="7">
        <f t="shared" si="77"/>
        <v>-900</v>
      </c>
      <c r="Y96" s="2"/>
      <c r="Z96" s="6">
        <f t="shared" si="78"/>
        <v>-1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7"/>
      <c r="E97" s="2"/>
      <c r="F97" s="6">
        <f t="shared" si="71"/>
        <v>0</v>
      </c>
      <c r="G97" s="2"/>
      <c r="H97" s="7">
        <v>376</v>
      </c>
      <c r="I97" s="2"/>
      <c r="J97" s="6">
        <f t="shared" si="72"/>
        <v>3.5119837103734287E-3</v>
      </c>
      <c r="K97" s="2"/>
      <c r="L97" s="7">
        <f t="shared" si="73"/>
        <v>-376</v>
      </c>
      <c r="M97" s="2"/>
      <c r="N97" s="6">
        <f t="shared" si="74"/>
        <v>-1</v>
      </c>
      <c r="O97" s="11"/>
      <c r="P97" s="7">
        <v>916.08</v>
      </c>
      <c r="Q97" s="2"/>
      <c r="R97" s="6">
        <f t="shared" si="75"/>
        <v>1.9936746402117829E-3</v>
      </c>
      <c r="S97" s="2"/>
      <c r="T97" s="7">
        <v>3741</v>
      </c>
      <c r="U97" s="2"/>
      <c r="V97" s="6">
        <f t="shared" si="76"/>
        <v>4.9087144442957354E-3</v>
      </c>
      <c r="W97" s="2"/>
      <c r="X97" s="7">
        <f t="shared" si="77"/>
        <v>-2824.92</v>
      </c>
      <c r="Y97" s="2"/>
      <c r="Z97" s="6">
        <f t="shared" si="78"/>
        <v>-0.75512429831595829</v>
      </c>
    </row>
    <row r="98" spans="1:26" s="25" customFormat="1" outlineLevel="1" collapsed="1" x14ac:dyDescent="0.25">
      <c r="A98" s="27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SUM(OSRRefD22_17x_0)</f>
        <v>627.34</v>
      </c>
      <c r="E98" s="1"/>
      <c r="F98" s="5">
        <f t="shared" ref="F98:F109" si="79">IF(D$12=0,0,D98/D$12)</f>
        <v>8.5773300295012359E-3</v>
      </c>
      <c r="G98" s="1"/>
      <c r="H98" s="1">
        <f>SUM(OSRRefH22_17x_0)</f>
        <v>3104</v>
      </c>
      <c r="I98" s="1"/>
      <c r="J98" s="5">
        <f t="shared" ref="J98:J109" si="80">IF(H$12=0,0,H98/H$12)</f>
        <v>2.8992546374997666E-2</v>
      </c>
      <c r="K98" s="1"/>
      <c r="L98" s="1">
        <f t="shared" ref="L98:L109" si="81">+D98-H98</f>
        <v>-2476.66</v>
      </c>
      <c r="M98" s="1"/>
      <c r="N98" s="5">
        <f t="shared" ref="N98:N109" si="82">IF(H98=0,0,L98/H98)</f>
        <v>-0.79789304123711335</v>
      </c>
      <c r="O98" s="13"/>
      <c r="P98" s="1">
        <f>SUM(OSRRefP22_17x_0)</f>
        <v>-19530.510000000002</v>
      </c>
      <c r="Q98" s="1"/>
      <c r="R98" s="5">
        <f t="shared" ref="R98:R109" si="83">IF(P$12=0,0,P98/P$12)</f>
        <v>-4.2504456485680985E-2</v>
      </c>
      <c r="S98" s="1"/>
      <c r="T98" s="1">
        <f>SUM(OSRRefT22_17x_0)</f>
        <v>44596</v>
      </c>
      <c r="U98" s="1"/>
      <c r="V98" s="5">
        <f t="shared" ref="V98:V109" si="84">IF(T$12=0,0,T98/T$12)</f>
        <v>5.8516179994069127E-2</v>
      </c>
      <c r="W98" s="1"/>
      <c r="X98" s="1">
        <f t="shared" ref="X98:X109" si="85">+P98-T98</f>
        <v>-64126.51</v>
      </c>
      <c r="Y98" s="1"/>
      <c r="Z98" s="5">
        <f t="shared" ref="Z98:Z109" si="86">IF(T98=0,0,X98/T98)</f>
        <v>-1.4379430890662841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7">
        <v>26.25</v>
      </c>
      <c r="E99" s="2"/>
      <c r="F99" s="6">
        <f t="shared" si="79"/>
        <v>3.5890412419805441E-4</v>
      </c>
      <c r="G99" s="2"/>
      <c r="H99" s="7"/>
      <c r="I99" s="2"/>
      <c r="J99" s="6">
        <f t="shared" si="80"/>
        <v>0</v>
      </c>
      <c r="K99" s="2"/>
      <c r="L99" s="7">
        <f t="shared" si="81"/>
        <v>26.25</v>
      </c>
      <c r="M99" s="2"/>
      <c r="N99" s="6">
        <f t="shared" si="82"/>
        <v>0</v>
      </c>
      <c r="O99" s="11"/>
      <c r="P99" s="7">
        <v>653.83000000000004</v>
      </c>
      <c r="Q99" s="2"/>
      <c r="R99" s="6">
        <f t="shared" si="83"/>
        <v>1.4229371779862787E-3</v>
      </c>
      <c r="S99" s="2"/>
      <c r="T99" s="7">
        <v>1104</v>
      </c>
      <c r="U99" s="2"/>
      <c r="V99" s="6">
        <f t="shared" si="84"/>
        <v>1.4486021776269691E-3</v>
      </c>
      <c r="W99" s="2"/>
      <c r="X99" s="7">
        <f t="shared" si="85"/>
        <v>-450.16999999999996</v>
      </c>
      <c r="Y99" s="2"/>
      <c r="Z99" s="6">
        <f t="shared" si="86"/>
        <v>-0.40776268115942027</v>
      </c>
    </row>
    <row r="100" spans="1:26" s="24" customFormat="1" hidden="1" outlineLevel="2" x14ac:dyDescent="0.25">
      <c r="A100" s="26"/>
      <c r="B100" s="11" t="str">
        <f>CONCATENATE("          ", "6235", " - ", "COVID-19 EXPENSES")</f>
        <v xml:space="preserve">          6235 - COVID-19 EXPENSES</v>
      </c>
      <c r="C100" s="11"/>
      <c r="D100" s="7">
        <v>65.45</v>
      </c>
      <c r="E100" s="2"/>
      <c r="F100" s="6">
        <f t="shared" si="79"/>
        <v>8.9486761633381562E-4</v>
      </c>
      <c r="G100" s="2"/>
      <c r="H100" s="7">
        <v>400</v>
      </c>
      <c r="I100" s="2"/>
      <c r="J100" s="6">
        <f t="shared" si="80"/>
        <v>3.7361528833759878E-3</v>
      </c>
      <c r="K100" s="2"/>
      <c r="L100" s="7">
        <f t="shared" si="81"/>
        <v>-334.55</v>
      </c>
      <c r="M100" s="2"/>
      <c r="N100" s="6">
        <f t="shared" si="82"/>
        <v>-0.83637499999999998</v>
      </c>
      <c r="O100" s="11"/>
      <c r="P100" s="7">
        <v>7154.58</v>
      </c>
      <c r="Q100" s="2"/>
      <c r="R100" s="6">
        <f t="shared" si="83"/>
        <v>1.5570588493763009E-2</v>
      </c>
      <c r="S100" s="2"/>
      <c r="T100" s="7">
        <v>4500</v>
      </c>
      <c r="U100" s="2"/>
      <c r="V100" s="6">
        <f t="shared" si="84"/>
        <v>5.904628441414277E-3</v>
      </c>
      <c r="W100" s="2"/>
      <c r="X100" s="7">
        <f t="shared" si="85"/>
        <v>2654.58</v>
      </c>
      <c r="Y100" s="2"/>
      <c r="Z100" s="6">
        <f t="shared" si="86"/>
        <v>0.58990666666666669</v>
      </c>
    </row>
    <row r="101" spans="1:26" s="24" customFormat="1" hidden="1" outlineLevel="2" x14ac:dyDescent="0.25">
      <c r="A101" s="26"/>
      <c r="B101" s="11" t="str">
        <f>CONCATENATE("          ", "6237", " - ", "JANITORIAL SUPPLIES")</f>
        <v xml:space="preserve">          6237 - JANITORIAL SUPPLIES</v>
      </c>
      <c r="C101" s="11"/>
      <c r="D101" s="7"/>
      <c r="E101" s="2"/>
      <c r="F101" s="6">
        <f t="shared" si="79"/>
        <v>0</v>
      </c>
      <c r="G101" s="2"/>
      <c r="H101" s="7">
        <v>1202</v>
      </c>
      <c r="I101" s="2"/>
      <c r="J101" s="6">
        <f t="shared" si="80"/>
        <v>1.1227139414544843E-2</v>
      </c>
      <c r="K101" s="2"/>
      <c r="L101" s="7">
        <f t="shared" si="81"/>
        <v>-1202</v>
      </c>
      <c r="M101" s="2"/>
      <c r="N101" s="6">
        <f t="shared" si="82"/>
        <v>-1</v>
      </c>
      <c r="O101" s="11"/>
      <c r="P101" s="7">
        <v>676.48</v>
      </c>
      <c r="Q101" s="2"/>
      <c r="R101" s="6">
        <f t="shared" si="83"/>
        <v>1.4722306137132859E-3</v>
      </c>
      <c r="S101" s="2"/>
      <c r="T101" s="7">
        <v>10573</v>
      </c>
      <c r="U101" s="2"/>
      <c r="V101" s="6">
        <f t="shared" si="84"/>
        <v>1.3873252558016256E-2</v>
      </c>
      <c r="W101" s="2"/>
      <c r="X101" s="7">
        <f t="shared" si="85"/>
        <v>-9896.52</v>
      </c>
      <c r="Y101" s="2"/>
      <c r="Z101" s="6">
        <f t="shared" si="86"/>
        <v>-0.93601815946278255</v>
      </c>
    </row>
    <row r="102" spans="1:26" s="24" customFormat="1" hidden="1" outlineLevel="2" x14ac:dyDescent="0.25">
      <c r="A102" s="26"/>
      <c r="B102" s="11" t="str">
        <f>CONCATENATE("          ", "6239", " - ", "KITCHEN SUPPLIES")</f>
        <v xml:space="preserve">          6239 - KITCHEN SUPPLIES</v>
      </c>
      <c r="C102" s="11"/>
      <c r="D102" s="7"/>
      <c r="E102" s="2"/>
      <c r="F102" s="6">
        <f t="shared" si="79"/>
        <v>0</v>
      </c>
      <c r="G102" s="2"/>
      <c r="H102" s="7">
        <v>50</v>
      </c>
      <c r="I102" s="2"/>
      <c r="J102" s="6">
        <f t="shared" si="80"/>
        <v>4.6701911042199847E-4</v>
      </c>
      <c r="K102" s="2"/>
      <c r="L102" s="7">
        <f t="shared" si="81"/>
        <v>-50</v>
      </c>
      <c r="M102" s="2"/>
      <c r="N102" s="6">
        <f t="shared" si="82"/>
        <v>-1</v>
      </c>
      <c r="O102" s="11"/>
      <c r="P102" s="7">
        <v>19.829999999999998</v>
      </c>
      <c r="Q102" s="2"/>
      <c r="R102" s="6">
        <f t="shared" si="83"/>
        <v>4.315623975569781E-5</v>
      </c>
      <c r="S102" s="2"/>
      <c r="T102" s="7">
        <v>443</v>
      </c>
      <c r="U102" s="2"/>
      <c r="V102" s="6">
        <f t="shared" si="84"/>
        <v>5.8127786656589429E-4</v>
      </c>
      <c r="W102" s="2"/>
      <c r="X102" s="7">
        <f t="shared" si="85"/>
        <v>-423.17</v>
      </c>
      <c r="Y102" s="2"/>
      <c r="Z102" s="6">
        <f t="shared" si="86"/>
        <v>-0.95523702031602709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7">
        <v>440.72</v>
      </c>
      <c r="E103" s="2"/>
      <c r="F103" s="6">
        <f t="shared" si="79"/>
        <v>6.0257609758692012E-3</v>
      </c>
      <c r="G103" s="2"/>
      <c r="H103" s="7">
        <v>125</v>
      </c>
      <c r="I103" s="2"/>
      <c r="J103" s="6">
        <f t="shared" si="80"/>
        <v>1.1675477760549962E-3</v>
      </c>
      <c r="K103" s="2"/>
      <c r="L103" s="7">
        <f t="shared" si="81"/>
        <v>315.72000000000003</v>
      </c>
      <c r="M103" s="2"/>
      <c r="N103" s="6">
        <f t="shared" si="82"/>
        <v>2.52576</v>
      </c>
      <c r="O103" s="11"/>
      <c r="P103" s="7">
        <v>-28411.84</v>
      </c>
      <c r="Q103" s="2"/>
      <c r="R103" s="6">
        <f t="shared" si="83"/>
        <v>-6.1832989356557011E-2</v>
      </c>
      <c r="S103" s="2"/>
      <c r="T103" s="7">
        <v>5712</v>
      </c>
      <c r="U103" s="2"/>
      <c r="V103" s="6">
        <f t="shared" si="84"/>
        <v>7.4949417016351881E-3</v>
      </c>
      <c r="W103" s="2"/>
      <c r="X103" s="7">
        <f t="shared" si="85"/>
        <v>-34123.839999999997</v>
      </c>
      <c r="Y103" s="2"/>
      <c r="Z103" s="6">
        <f t="shared" si="86"/>
        <v>-5.9740616246498597</v>
      </c>
    </row>
    <row r="104" spans="1:26" s="24" customFormat="1" hidden="1" outlineLevel="2" x14ac:dyDescent="0.25">
      <c r="A104" s="26"/>
      <c r="B104" s="11" t="str">
        <f>CONCATENATE("          ", "6243", " - ", "PAPER SUPPLIES")</f>
        <v xml:space="preserve">          6243 - PAPER SUPPLIES</v>
      </c>
      <c r="C104" s="11"/>
      <c r="D104" s="7">
        <v>94.92</v>
      </c>
      <c r="E104" s="2"/>
      <c r="F104" s="6">
        <f t="shared" si="79"/>
        <v>1.2977973131001648E-3</v>
      </c>
      <c r="G104" s="2"/>
      <c r="H104" s="7">
        <v>650</v>
      </c>
      <c r="I104" s="2"/>
      <c r="J104" s="6">
        <f t="shared" si="80"/>
        <v>6.0712484354859802E-3</v>
      </c>
      <c r="K104" s="2"/>
      <c r="L104" s="7">
        <f t="shared" si="81"/>
        <v>-555.08000000000004</v>
      </c>
      <c r="M104" s="2"/>
      <c r="N104" s="6">
        <f t="shared" si="82"/>
        <v>-0.85396923076923081</v>
      </c>
      <c r="O104" s="11"/>
      <c r="P104" s="7">
        <v>255.33</v>
      </c>
      <c r="Q104" s="2"/>
      <c r="R104" s="6">
        <f t="shared" si="83"/>
        <v>5.5567739267888677E-4</v>
      </c>
      <c r="S104" s="2"/>
      <c r="T104" s="7">
        <v>7141</v>
      </c>
      <c r="U104" s="2"/>
      <c r="V104" s="6">
        <f t="shared" si="84"/>
        <v>9.3699892666976332E-3</v>
      </c>
      <c r="W104" s="2"/>
      <c r="X104" s="7">
        <f t="shared" si="85"/>
        <v>-6885.67</v>
      </c>
      <c r="Y104" s="2"/>
      <c r="Z104" s="6">
        <f t="shared" si="86"/>
        <v>-0.9642445035709285</v>
      </c>
    </row>
    <row r="105" spans="1:26" s="24" customFormat="1" hidden="1" outlineLevel="2" x14ac:dyDescent="0.25">
      <c r="A105" s="26"/>
      <c r="B105" s="11" t="str">
        <f>CONCATENATE("          ", "6244", " - ", "SAFETY SUPPLY EXPENSE")</f>
        <v xml:space="preserve">          6244 - SAFETY SUPPLY EXPENSE</v>
      </c>
      <c r="C105" s="11"/>
      <c r="D105" s="7"/>
      <c r="E105" s="2"/>
      <c r="F105" s="6">
        <f t="shared" si="79"/>
        <v>0</v>
      </c>
      <c r="G105" s="2"/>
      <c r="H105" s="7">
        <v>0</v>
      </c>
      <c r="I105" s="2"/>
      <c r="J105" s="6">
        <f t="shared" si="80"/>
        <v>0</v>
      </c>
      <c r="K105" s="2"/>
      <c r="L105" s="7">
        <f t="shared" si="81"/>
        <v>0</v>
      </c>
      <c r="M105" s="2"/>
      <c r="N105" s="6">
        <f t="shared" si="82"/>
        <v>0</v>
      </c>
      <c r="O105" s="11"/>
      <c r="P105" s="7"/>
      <c r="Q105" s="2"/>
      <c r="R105" s="6">
        <f t="shared" si="83"/>
        <v>0</v>
      </c>
      <c r="S105" s="2"/>
      <c r="T105" s="7">
        <v>0</v>
      </c>
      <c r="U105" s="2"/>
      <c r="V105" s="6">
        <f t="shared" si="84"/>
        <v>0</v>
      </c>
      <c r="W105" s="2"/>
      <c r="X105" s="7">
        <f t="shared" si="85"/>
        <v>0</v>
      </c>
      <c r="Y105" s="2"/>
      <c r="Z105" s="6">
        <f t="shared" si="86"/>
        <v>0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79"/>
        <v>0</v>
      </c>
      <c r="G106" s="2"/>
      <c r="H106" s="7">
        <v>0</v>
      </c>
      <c r="I106" s="2"/>
      <c r="J106" s="6">
        <f t="shared" si="80"/>
        <v>0</v>
      </c>
      <c r="K106" s="2"/>
      <c r="L106" s="7">
        <f t="shared" si="81"/>
        <v>0</v>
      </c>
      <c r="M106" s="2"/>
      <c r="N106" s="6">
        <f t="shared" si="82"/>
        <v>0</v>
      </c>
      <c r="O106" s="11"/>
      <c r="P106" s="7"/>
      <c r="Q106" s="2"/>
      <c r="R106" s="6">
        <f t="shared" si="83"/>
        <v>0</v>
      </c>
      <c r="S106" s="2"/>
      <c r="T106" s="7">
        <v>0</v>
      </c>
      <c r="U106" s="2"/>
      <c r="V106" s="6">
        <f t="shared" si="84"/>
        <v>0</v>
      </c>
      <c r="W106" s="2"/>
      <c r="X106" s="7">
        <f t="shared" si="85"/>
        <v>0</v>
      </c>
      <c r="Y106" s="2"/>
      <c r="Z106" s="6">
        <f t="shared" si="86"/>
        <v>0</v>
      </c>
    </row>
    <row r="107" spans="1:26" s="24" customFormat="1" hidden="1" outlineLevel="2" x14ac:dyDescent="0.25">
      <c r="A107" s="26"/>
      <c r="B107" s="11" t="str">
        <f>CONCATENATE("          ", "6246", " - ", "REPLACEMENTS")</f>
        <v xml:space="preserve">          6246 - REPLACEMENTS</v>
      </c>
      <c r="C107" s="11"/>
      <c r="D107" s="7"/>
      <c r="E107" s="2"/>
      <c r="F107" s="6">
        <f t="shared" si="79"/>
        <v>0</v>
      </c>
      <c r="G107" s="2"/>
      <c r="H107" s="7">
        <v>0</v>
      </c>
      <c r="I107" s="2"/>
      <c r="J107" s="6">
        <f t="shared" si="80"/>
        <v>0</v>
      </c>
      <c r="K107" s="2"/>
      <c r="L107" s="7">
        <f t="shared" si="81"/>
        <v>0</v>
      </c>
      <c r="M107" s="2"/>
      <c r="N107" s="6">
        <f t="shared" si="82"/>
        <v>0</v>
      </c>
      <c r="O107" s="11"/>
      <c r="P107" s="7"/>
      <c r="Q107" s="2"/>
      <c r="R107" s="6">
        <f t="shared" si="83"/>
        <v>0</v>
      </c>
      <c r="S107" s="2"/>
      <c r="T107" s="7">
        <v>0</v>
      </c>
      <c r="U107" s="2"/>
      <c r="V107" s="6">
        <f t="shared" si="84"/>
        <v>0</v>
      </c>
      <c r="W107" s="2"/>
      <c r="X107" s="7">
        <f t="shared" si="85"/>
        <v>0</v>
      </c>
      <c r="Y107" s="2"/>
      <c r="Z107" s="6">
        <f t="shared" si="86"/>
        <v>0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79"/>
        <v>0</v>
      </c>
      <c r="G108" s="2"/>
      <c r="H108" s="7">
        <v>677</v>
      </c>
      <c r="I108" s="2"/>
      <c r="J108" s="6">
        <f t="shared" si="80"/>
        <v>6.3234387551138593E-3</v>
      </c>
      <c r="K108" s="2"/>
      <c r="L108" s="7">
        <f t="shared" si="81"/>
        <v>-677</v>
      </c>
      <c r="M108" s="2"/>
      <c r="N108" s="6">
        <f t="shared" si="82"/>
        <v>-1</v>
      </c>
      <c r="O108" s="11"/>
      <c r="P108" s="7">
        <v>121.28</v>
      </c>
      <c r="Q108" s="2"/>
      <c r="R108" s="6">
        <f t="shared" si="83"/>
        <v>2.6394295297887195E-4</v>
      </c>
      <c r="S108" s="2"/>
      <c r="T108" s="7">
        <v>14908</v>
      </c>
      <c r="U108" s="2"/>
      <c r="V108" s="6">
        <f t="shared" si="84"/>
        <v>1.9561377956578675E-2</v>
      </c>
      <c r="W108" s="2"/>
      <c r="X108" s="7">
        <f t="shared" si="85"/>
        <v>-14786.72</v>
      </c>
      <c r="Y108" s="2"/>
      <c r="Z108" s="6">
        <f t="shared" si="86"/>
        <v>-0.99186477059297018</v>
      </c>
    </row>
    <row r="109" spans="1:26" s="24" customFormat="1" hidden="1" outlineLevel="2" x14ac:dyDescent="0.25">
      <c r="A109" s="26"/>
      <c r="B109" s="11" t="str">
        <f>CONCATENATE("          ", "6248", " - ", "UNIFORMS")</f>
        <v xml:space="preserve">          6248 - UNIFORMS</v>
      </c>
      <c r="C109" s="11"/>
      <c r="D109" s="7"/>
      <c r="E109" s="2"/>
      <c r="F109" s="6">
        <f t="shared" si="79"/>
        <v>0</v>
      </c>
      <c r="G109" s="2"/>
      <c r="H109" s="7">
        <v>0</v>
      </c>
      <c r="I109" s="2"/>
      <c r="J109" s="6">
        <f t="shared" si="80"/>
        <v>0</v>
      </c>
      <c r="K109" s="2"/>
      <c r="L109" s="7">
        <f t="shared" si="81"/>
        <v>0</v>
      </c>
      <c r="M109" s="2"/>
      <c r="N109" s="6">
        <f t="shared" si="82"/>
        <v>0</v>
      </c>
      <c r="O109" s="11"/>
      <c r="P109" s="7"/>
      <c r="Q109" s="2"/>
      <c r="R109" s="6">
        <f t="shared" si="83"/>
        <v>0</v>
      </c>
      <c r="S109" s="2"/>
      <c r="T109" s="7">
        <v>215</v>
      </c>
      <c r="U109" s="2"/>
      <c r="V109" s="6">
        <f t="shared" si="84"/>
        <v>2.8211002553423767E-4</v>
      </c>
      <c r="W109" s="2"/>
      <c r="X109" s="7">
        <f t="shared" si="85"/>
        <v>-215</v>
      </c>
      <c r="Y109" s="2"/>
      <c r="Z109" s="6">
        <f t="shared" si="86"/>
        <v>-1</v>
      </c>
    </row>
    <row r="110" spans="1:26" s="25" customFormat="1" outlineLevel="1" collapsed="1" x14ac:dyDescent="0.25">
      <c r="A110" s="27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SUM(OSRRefD22_18x_0)</f>
        <v>574.1</v>
      </c>
      <c r="E110" s="1"/>
      <c r="F110" s="5">
        <f t="shared" ref="F110:F112" si="87">IF(D$12=0,0,D110/D$12)</f>
        <v>7.8494041029372585E-3</v>
      </c>
      <c r="G110" s="1"/>
      <c r="H110" s="1">
        <f>SUM(OSRRefH22_18x_0)</f>
        <v>770</v>
      </c>
      <c r="I110" s="1"/>
      <c r="J110" s="5">
        <f t="shared" ref="J110:J112" si="88">IF(H$12=0,0,H110/H$12)</f>
        <v>7.1920943004987765E-3</v>
      </c>
      <c r="K110" s="1"/>
      <c r="L110" s="1">
        <f t="shared" ref="L110:L112" si="89">+D110-H110</f>
        <v>-195.89999999999998</v>
      </c>
      <c r="M110" s="1"/>
      <c r="N110" s="5">
        <f t="shared" ref="N110:N112" si="90">IF(H110=0,0,L110/H110)</f>
        <v>-0.25441558441558437</v>
      </c>
      <c r="O110" s="13"/>
      <c r="P110" s="1">
        <f>SUM(OSRRefP22_18x_0)</f>
        <v>9364.4</v>
      </c>
      <c r="Q110" s="1"/>
      <c r="R110" s="5">
        <f t="shared" ref="R110:R112" si="91">IF(P$12=0,0,P110/P$12)</f>
        <v>2.0379843246003865E-2</v>
      </c>
      <c r="S110" s="1"/>
      <c r="T110" s="1">
        <f>SUM(OSRRefT22_18x_0)</f>
        <v>6387</v>
      </c>
      <c r="U110" s="1"/>
      <c r="V110" s="5">
        <f t="shared" ref="V110:V112" si="92">IF(T$12=0,0,T110/T$12)</f>
        <v>8.3806359678473292E-3</v>
      </c>
      <c r="W110" s="1"/>
      <c r="X110" s="1">
        <f t="shared" ref="X110:X112" si="93">+P110-T110</f>
        <v>2977.3999999999996</v>
      </c>
      <c r="Y110" s="1"/>
      <c r="Z110" s="5">
        <f t="shared" ref="Z110:Z112" si="94">IF(T110=0,0,X110/T110)</f>
        <v>0.46616564897447937</v>
      </c>
    </row>
    <row r="111" spans="1:26" s="24" customFormat="1" hidden="1" outlineLevel="2" x14ac:dyDescent="0.25">
      <c r="A111" s="26"/>
      <c r="B111" s="11" t="str">
        <f>CONCATENATE("          ", "6303", " - ", "DATA PHONE LINES")</f>
        <v xml:space="preserve">          6303 - DATA PHONE LINES</v>
      </c>
      <c r="C111" s="11"/>
      <c r="D111" s="7"/>
      <c r="E111" s="2"/>
      <c r="F111" s="6">
        <f t="shared" si="87"/>
        <v>0</v>
      </c>
      <c r="G111" s="2"/>
      <c r="H111" s="7">
        <v>370</v>
      </c>
      <c r="I111" s="2"/>
      <c r="J111" s="6">
        <f t="shared" si="88"/>
        <v>3.4559414171227887E-3</v>
      </c>
      <c r="K111" s="2"/>
      <c r="L111" s="7">
        <f t="shared" si="89"/>
        <v>-370</v>
      </c>
      <c r="M111" s="2"/>
      <c r="N111" s="6">
        <f t="shared" si="90"/>
        <v>-1</v>
      </c>
      <c r="O111" s="11"/>
      <c r="P111" s="7"/>
      <c r="Q111" s="2"/>
      <c r="R111" s="6">
        <f t="shared" si="91"/>
        <v>0</v>
      </c>
      <c r="S111" s="2"/>
      <c r="T111" s="7">
        <v>3737</v>
      </c>
      <c r="U111" s="2"/>
      <c r="V111" s="6">
        <f t="shared" si="92"/>
        <v>4.9034658856811448E-3</v>
      </c>
      <c r="W111" s="2"/>
      <c r="X111" s="7">
        <f t="shared" si="93"/>
        <v>-3737</v>
      </c>
      <c r="Y111" s="2"/>
      <c r="Z111" s="6">
        <f t="shared" si="94"/>
        <v>-1</v>
      </c>
    </row>
    <row r="112" spans="1:26" s="24" customFormat="1" hidden="1" outlineLevel="2" x14ac:dyDescent="0.25">
      <c r="A112" s="26"/>
      <c r="B112" s="11" t="str">
        <f>CONCATENATE("          ", "6309", " - ", "TELEPHONE")</f>
        <v xml:space="preserve">          6309 - TELEPHONE</v>
      </c>
      <c r="C112" s="11"/>
      <c r="D112" s="7">
        <v>574.1</v>
      </c>
      <c r="E112" s="2"/>
      <c r="F112" s="6">
        <f t="shared" si="87"/>
        <v>7.8494041029372585E-3</v>
      </c>
      <c r="G112" s="2"/>
      <c r="H112" s="7">
        <v>400</v>
      </c>
      <c r="I112" s="2"/>
      <c r="J112" s="6">
        <f t="shared" si="88"/>
        <v>3.7361528833759878E-3</v>
      </c>
      <c r="K112" s="2"/>
      <c r="L112" s="7">
        <f t="shared" si="89"/>
        <v>174.10000000000002</v>
      </c>
      <c r="M112" s="2"/>
      <c r="N112" s="6">
        <f t="shared" si="90"/>
        <v>0.43525000000000008</v>
      </c>
      <c r="O112" s="11"/>
      <c r="P112" s="7">
        <v>9364.4</v>
      </c>
      <c r="Q112" s="2"/>
      <c r="R112" s="6">
        <f t="shared" si="91"/>
        <v>2.0379843246003865E-2</v>
      </c>
      <c r="S112" s="2"/>
      <c r="T112" s="7">
        <v>2650</v>
      </c>
      <c r="U112" s="2"/>
      <c r="V112" s="6">
        <f t="shared" si="92"/>
        <v>3.4771700821661852E-3</v>
      </c>
      <c r="W112" s="2"/>
      <c r="X112" s="7">
        <f t="shared" si="93"/>
        <v>6714.4</v>
      </c>
      <c r="Y112" s="2"/>
      <c r="Z112" s="6">
        <f t="shared" si="94"/>
        <v>2.5337358490566038</v>
      </c>
    </row>
    <row r="113" spans="1:26" s="25" customFormat="1" outlineLevel="1" collapsed="1" x14ac:dyDescent="0.25">
      <c r="A113" s="27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SUM(OSRRefD22_19x_0)</f>
        <v>0</v>
      </c>
      <c r="E113" s="1"/>
      <c r="F113" s="5">
        <f t="shared" ref="F113:F118" si="95">IF(D$12=0,0,D113/D$12)</f>
        <v>0</v>
      </c>
      <c r="G113" s="1"/>
      <c r="H113" s="1">
        <f>SUM(OSRRefH22_19x_0)</f>
        <v>0</v>
      </c>
      <c r="I113" s="1"/>
      <c r="J113" s="5">
        <f t="shared" ref="J113:J118" si="96">IF(H$12=0,0,H113/H$12)</f>
        <v>0</v>
      </c>
      <c r="K113" s="1"/>
      <c r="L113" s="1">
        <f t="shared" ref="L113:L118" si="97">+D113-H113</f>
        <v>0</v>
      </c>
      <c r="M113" s="1"/>
      <c r="N113" s="5">
        <f t="shared" ref="N113:N118" si="98">IF(H113=0,0,L113/H113)</f>
        <v>0</v>
      </c>
      <c r="O113" s="13"/>
      <c r="P113" s="1">
        <f>SUM(OSRRefP22_19x_0)</f>
        <v>400</v>
      </c>
      <c r="Q113" s="1"/>
      <c r="R113" s="5">
        <f t="shared" ref="R113:R118" si="99">IF(P$12=0,0,P113/P$12)</f>
        <v>8.705242512495778E-4</v>
      </c>
      <c r="S113" s="1"/>
      <c r="T113" s="1">
        <f>SUM(OSRRefT22_19x_0)</f>
        <v>240</v>
      </c>
      <c r="U113" s="1"/>
      <c r="V113" s="5">
        <f t="shared" ref="V113:V118" si="100">IF(T$12=0,0,T113/T$12)</f>
        <v>3.1491351687542809E-4</v>
      </c>
      <c r="W113" s="1"/>
      <c r="X113" s="1">
        <f t="shared" ref="X113:X118" si="101">+P113-T113</f>
        <v>160</v>
      </c>
      <c r="Y113" s="1"/>
      <c r="Z113" s="5">
        <f t="shared" ref="Z113:Z118" si="102">IF(T113=0,0,X113/T113)</f>
        <v>0.66666666666666663</v>
      </c>
    </row>
    <row r="114" spans="1:26" s="24" customFormat="1" hidden="1" outlineLevel="2" x14ac:dyDescent="0.25">
      <c r="A114" s="26"/>
      <c r="B114" s="11" t="str">
        <f>CONCATENATE("          ", "6376", " - ", "TRAINING")</f>
        <v xml:space="preserve">          6376 - TRAINING</v>
      </c>
      <c r="C114" s="11"/>
      <c r="D114" s="7"/>
      <c r="E114" s="2"/>
      <c r="F114" s="6">
        <f t="shared" si="95"/>
        <v>0</v>
      </c>
      <c r="G114" s="2"/>
      <c r="H114" s="7">
        <v>0</v>
      </c>
      <c r="I114" s="2"/>
      <c r="J114" s="6">
        <f t="shared" si="96"/>
        <v>0</v>
      </c>
      <c r="K114" s="2"/>
      <c r="L114" s="7">
        <f t="shared" si="97"/>
        <v>0</v>
      </c>
      <c r="M114" s="2"/>
      <c r="N114" s="6">
        <f t="shared" si="98"/>
        <v>0</v>
      </c>
      <c r="O114" s="11"/>
      <c r="P114" s="7">
        <v>400</v>
      </c>
      <c r="Q114" s="2"/>
      <c r="R114" s="6">
        <f t="shared" si="99"/>
        <v>8.705242512495778E-4</v>
      </c>
      <c r="S114" s="2"/>
      <c r="T114" s="7">
        <v>240</v>
      </c>
      <c r="U114" s="2"/>
      <c r="V114" s="6">
        <f t="shared" si="100"/>
        <v>3.1491351687542809E-4</v>
      </c>
      <c r="W114" s="2"/>
      <c r="X114" s="7">
        <f t="shared" si="101"/>
        <v>160</v>
      </c>
      <c r="Y114" s="2"/>
      <c r="Z114" s="6">
        <f t="shared" si="102"/>
        <v>0.66666666666666663</v>
      </c>
    </row>
    <row r="115" spans="1:26" s="25" customFormat="1" outlineLevel="1" collapsed="1" x14ac:dyDescent="0.25">
      <c r="A115" s="27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SUM(OSRRefD22_20x_0)</f>
        <v>0</v>
      </c>
      <c r="E115" s="1"/>
      <c r="F115" s="5">
        <f t="shared" si="95"/>
        <v>0</v>
      </c>
      <c r="G115" s="1"/>
      <c r="H115" s="1">
        <f>SUM(OSRRefH22_20x_0)</f>
        <v>0</v>
      </c>
      <c r="I115" s="1"/>
      <c r="J115" s="5">
        <f t="shared" si="96"/>
        <v>0</v>
      </c>
      <c r="K115" s="1"/>
      <c r="L115" s="1">
        <f t="shared" si="97"/>
        <v>0</v>
      </c>
      <c r="M115" s="1"/>
      <c r="N115" s="5">
        <f t="shared" si="98"/>
        <v>0</v>
      </c>
      <c r="O115" s="13"/>
      <c r="P115" s="1">
        <f>SUM(OSRRefP22_20x_0)</f>
        <v>332.21</v>
      </c>
      <c r="Q115" s="1"/>
      <c r="R115" s="5">
        <f t="shared" si="99"/>
        <v>7.2299215376905553E-4</v>
      </c>
      <c r="S115" s="1"/>
      <c r="T115" s="1">
        <f>SUM(OSRRefT22_20x_0)</f>
        <v>1500</v>
      </c>
      <c r="U115" s="1"/>
      <c r="V115" s="5">
        <f t="shared" si="100"/>
        <v>1.9682094804714255E-3</v>
      </c>
      <c r="W115" s="1"/>
      <c r="X115" s="1">
        <f t="shared" si="101"/>
        <v>-1167.79</v>
      </c>
      <c r="Y115" s="1"/>
      <c r="Z115" s="5">
        <f t="shared" si="102"/>
        <v>-0.77852666666666659</v>
      </c>
    </row>
    <row r="116" spans="1:26" s="24" customFormat="1" hidden="1" outlineLevel="2" x14ac:dyDescent="0.25">
      <c r="A116" s="26"/>
      <c r="B116" s="11" t="str">
        <f>CONCATENATE("          ", "6292", " - ", "TRAVEL/CONFERENCE")</f>
        <v xml:space="preserve">          6292 - TRAVEL/CONFERENCE</v>
      </c>
      <c r="C116" s="11"/>
      <c r="D116" s="7"/>
      <c r="E116" s="2"/>
      <c r="F116" s="6">
        <f t="shared" si="95"/>
        <v>0</v>
      </c>
      <c r="G116" s="2"/>
      <c r="H116" s="7"/>
      <c r="I116" s="2"/>
      <c r="J116" s="6">
        <f t="shared" si="96"/>
        <v>0</v>
      </c>
      <c r="K116" s="2"/>
      <c r="L116" s="7">
        <f t="shared" si="97"/>
        <v>0</v>
      </c>
      <c r="M116" s="2"/>
      <c r="N116" s="6">
        <f t="shared" si="98"/>
        <v>0</v>
      </c>
      <c r="O116" s="11"/>
      <c r="P116" s="7"/>
      <c r="Q116" s="2"/>
      <c r="R116" s="6">
        <f t="shared" si="99"/>
        <v>0</v>
      </c>
      <c r="S116" s="2"/>
      <c r="T116" s="7">
        <v>1500</v>
      </c>
      <c r="U116" s="2"/>
      <c r="V116" s="6">
        <f t="shared" si="100"/>
        <v>1.9682094804714255E-3</v>
      </c>
      <c r="W116" s="2"/>
      <c r="X116" s="7">
        <f t="shared" si="101"/>
        <v>-1500</v>
      </c>
      <c r="Y116" s="2"/>
      <c r="Z116" s="6">
        <f t="shared" si="102"/>
        <v>-1</v>
      </c>
    </row>
    <row r="117" spans="1:26" s="24" customFormat="1" hidden="1" outlineLevel="2" x14ac:dyDescent="0.25">
      <c r="A117" s="26"/>
      <c r="B117" s="11" t="str">
        <f>CONCATENATE("          ", "6294", " - ", "TRAVEL OPERATIONAL")</f>
        <v xml:space="preserve">          6294 - TRAVEL OPERATIONAL</v>
      </c>
      <c r="C117" s="11"/>
      <c r="D117" s="7"/>
      <c r="E117" s="2"/>
      <c r="F117" s="6">
        <f t="shared" si="95"/>
        <v>0</v>
      </c>
      <c r="G117" s="2"/>
      <c r="H117" s="7"/>
      <c r="I117" s="2"/>
      <c r="J117" s="6">
        <f t="shared" si="96"/>
        <v>0</v>
      </c>
      <c r="K117" s="2"/>
      <c r="L117" s="7">
        <f t="shared" si="97"/>
        <v>0</v>
      </c>
      <c r="M117" s="2"/>
      <c r="N117" s="6">
        <f t="shared" si="98"/>
        <v>0</v>
      </c>
      <c r="O117" s="11"/>
      <c r="P117" s="7"/>
      <c r="Q117" s="2"/>
      <c r="R117" s="6">
        <f t="shared" si="99"/>
        <v>0</v>
      </c>
      <c r="S117" s="2"/>
      <c r="T117" s="7">
        <v>0</v>
      </c>
      <c r="U117" s="2"/>
      <c r="V117" s="6">
        <f t="shared" si="100"/>
        <v>0</v>
      </c>
      <c r="W117" s="2"/>
      <c r="X117" s="7">
        <f t="shared" si="101"/>
        <v>0</v>
      </c>
      <c r="Y117" s="2"/>
      <c r="Z117" s="6">
        <f t="shared" si="102"/>
        <v>0</v>
      </c>
    </row>
    <row r="118" spans="1:26" s="24" customFormat="1" hidden="1" outlineLevel="2" x14ac:dyDescent="0.25">
      <c r="A118" s="26"/>
      <c r="B118" s="11" t="str">
        <f>CONCATENATE("          ", "6298", " - ", "VEHICLE MILEAGE")</f>
        <v xml:space="preserve">          6298 - VEHICLE MILEAGE</v>
      </c>
      <c r="C118" s="11"/>
      <c r="D118" s="7"/>
      <c r="E118" s="2"/>
      <c r="F118" s="6">
        <f t="shared" si="95"/>
        <v>0</v>
      </c>
      <c r="G118" s="2"/>
      <c r="H118" s="7"/>
      <c r="I118" s="2"/>
      <c r="J118" s="6">
        <f t="shared" si="96"/>
        <v>0</v>
      </c>
      <c r="K118" s="2"/>
      <c r="L118" s="7">
        <f t="shared" si="97"/>
        <v>0</v>
      </c>
      <c r="M118" s="2"/>
      <c r="N118" s="6">
        <f t="shared" si="98"/>
        <v>0</v>
      </c>
      <c r="O118" s="11"/>
      <c r="P118" s="7">
        <v>332.21</v>
      </c>
      <c r="Q118" s="2"/>
      <c r="R118" s="6">
        <f t="shared" si="99"/>
        <v>7.2299215376905553E-4</v>
      </c>
      <c r="S118" s="2"/>
      <c r="T118" s="7"/>
      <c r="U118" s="2"/>
      <c r="V118" s="6">
        <f t="shared" si="100"/>
        <v>0</v>
      </c>
      <c r="W118" s="2"/>
      <c r="X118" s="7">
        <f t="shared" si="101"/>
        <v>332.21</v>
      </c>
      <c r="Y118" s="2"/>
      <c r="Z118" s="6">
        <f t="shared" si="102"/>
        <v>0</v>
      </c>
    </row>
    <row r="119" spans="1:26" s="25" customFormat="1" outlineLevel="1" collapsed="1" x14ac:dyDescent="0.25">
      <c r="A119" s="27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SUM(OSRRefD22_21x_0)</f>
        <v>4784</v>
      </c>
      <c r="E119" s="1"/>
      <c r="F119" s="5">
        <f t="shared" ref="F119:F120" si="103">IF(D$12=0,0,D119/D$12)</f>
        <v>6.5409422101466372E-2</v>
      </c>
      <c r="G119" s="1"/>
      <c r="H119" s="1">
        <f>SUM(OSRRefH22_21x_0)</f>
        <v>4150</v>
      </c>
      <c r="I119" s="1"/>
      <c r="J119" s="5">
        <f t="shared" ref="J119:J120" si="104">IF(H$12=0,0,H119/H$12)</f>
        <v>3.876258616502587E-2</v>
      </c>
      <c r="K119" s="1"/>
      <c r="L119" s="1">
        <f t="shared" ref="L119:L120" si="105">+D119-H119</f>
        <v>634</v>
      </c>
      <c r="M119" s="1"/>
      <c r="N119" s="5">
        <f t="shared" ref="N119:N120" si="106">IF(H119=0,0,L119/H119)</f>
        <v>0.1527710843373494</v>
      </c>
      <c r="O119" s="13"/>
      <c r="P119" s="1">
        <f>SUM(OSRRefP22_21x_0)</f>
        <v>7972</v>
      </c>
      <c r="Q119" s="1"/>
      <c r="R119" s="5">
        <f t="shared" ref="R119:R120" si="107">IF(P$12=0,0,P119/P$12)</f>
        <v>1.7349548327404086E-2</v>
      </c>
      <c r="S119" s="1"/>
      <c r="T119" s="1">
        <f>SUM(OSRRefT22_21x_0)</f>
        <v>41794</v>
      </c>
      <c r="U119" s="1"/>
      <c r="V119" s="5">
        <f t="shared" ref="V119:V120" si="108">IF(T$12=0,0,T119/T$12)</f>
        <v>5.4839564684548509E-2</v>
      </c>
      <c r="W119" s="1"/>
      <c r="X119" s="1">
        <f t="shared" ref="X119:X120" si="109">+P119-T119</f>
        <v>-33822</v>
      </c>
      <c r="Y119" s="1"/>
      <c r="Z119" s="5">
        <f t="shared" ref="Z119:Z120" si="110">IF(T119=0,0,X119/T119)</f>
        <v>-0.80925491697372831</v>
      </c>
    </row>
    <row r="120" spans="1:26" s="24" customFormat="1" hidden="1" outlineLevel="2" x14ac:dyDescent="0.25">
      <c r="A120" s="26"/>
      <c r="B120" s="11" t="str">
        <f>CONCATENATE("          ", "6274", " - ", "UTILITIES")</f>
        <v xml:space="preserve">          6274 - UTILITIES</v>
      </c>
      <c r="C120" s="11"/>
      <c r="D120" s="7">
        <v>4784</v>
      </c>
      <c r="E120" s="2"/>
      <c r="F120" s="6">
        <f t="shared" si="103"/>
        <v>6.5409422101466372E-2</v>
      </c>
      <c r="G120" s="2"/>
      <c r="H120" s="7">
        <v>4150</v>
      </c>
      <c r="I120" s="2"/>
      <c r="J120" s="6">
        <f t="shared" si="104"/>
        <v>3.876258616502587E-2</v>
      </c>
      <c r="K120" s="2"/>
      <c r="L120" s="7">
        <f t="shared" si="105"/>
        <v>634</v>
      </c>
      <c r="M120" s="2"/>
      <c r="N120" s="6">
        <f t="shared" si="106"/>
        <v>0.1527710843373494</v>
      </c>
      <c r="O120" s="11"/>
      <c r="P120" s="7">
        <v>7972</v>
      </c>
      <c r="Q120" s="2"/>
      <c r="R120" s="6">
        <f t="shared" si="107"/>
        <v>1.7349548327404086E-2</v>
      </c>
      <c r="S120" s="2"/>
      <c r="T120" s="7">
        <v>41794</v>
      </c>
      <c r="U120" s="2"/>
      <c r="V120" s="6">
        <f t="shared" si="108"/>
        <v>5.4839564684548509E-2</v>
      </c>
      <c r="W120" s="2"/>
      <c r="X120" s="7">
        <f t="shared" si="109"/>
        <v>-33822</v>
      </c>
      <c r="Y120" s="2"/>
      <c r="Z120" s="6">
        <f t="shared" si="110"/>
        <v>-0.80925491697372831</v>
      </c>
    </row>
    <row r="121" spans="1:26" s="61" customFormat="1" x14ac:dyDescent="0.25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293</v>
      </c>
      <c r="C122" s="10"/>
      <c r="D122" s="4">
        <f>SUM(OSRRefD25x_0)</f>
        <v>1579.7400000000002</v>
      </c>
      <c r="E122" s="4"/>
      <c r="F122" s="12">
        <f t="shared" ref="F122:F126" si="111">IF(D$12=0,0,D122/D$12)</f>
        <v>2.1599055282309886E-2</v>
      </c>
      <c r="G122" s="4"/>
      <c r="H122" s="4">
        <f>SUM(OSRRefH25x_0)</f>
        <v>12296</v>
      </c>
      <c r="I122" s="4"/>
      <c r="J122" s="12">
        <f t="shared" ref="J122:J126" si="112">IF(H$12=0,0,H122/H$12)</f>
        <v>0.11484933963497786</v>
      </c>
      <c r="K122" s="4"/>
      <c r="L122" s="4">
        <f t="shared" ref="L122:L126" si="113">+D122-H122</f>
        <v>-10716.26</v>
      </c>
      <c r="M122" s="4"/>
      <c r="N122" s="12">
        <f t="shared" ref="N122:N126" si="114">IF(H122=0,0,L122/H122)</f>
        <v>-0.87152407286922573</v>
      </c>
      <c r="O122" s="10"/>
      <c r="P122" s="4">
        <f>SUM(OSRRefP25x_0)</f>
        <v>22445.4</v>
      </c>
      <c r="Q122" s="4"/>
      <c r="R122" s="12">
        <f t="shared" ref="R122:R126" si="115">IF(P$12=0,0,P122/P$12)</f>
        <v>4.8848162572493185E-2</v>
      </c>
      <c r="S122" s="4"/>
      <c r="T122" s="4">
        <f>SUM(OSRRefT25x_0)</f>
        <v>63687</v>
      </c>
      <c r="U122" s="4"/>
      <c r="V122" s="12">
        <f t="shared" ref="V122:V126" si="116">IF(T$12=0,0,T122/T$12)</f>
        <v>8.356623812185579E-2</v>
      </c>
      <c r="W122" s="4"/>
      <c r="X122" s="4">
        <f t="shared" ref="X122:X126" si="117">+P122-T122</f>
        <v>-41241.599999999999</v>
      </c>
      <c r="Y122" s="4"/>
      <c r="Z122" s="12">
        <f t="shared" ref="Z122:Z126" si="118">IF(T122=0,0,X122/T122)</f>
        <v>-0.64756700739554385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--496.99</f>
        <v>496.99</v>
      </c>
      <c r="E123" s="2"/>
      <c r="F123" s="19">
        <f t="shared" si="111"/>
        <v>6.7951146927691828E-3</v>
      </c>
      <c r="G123" s="2"/>
      <c r="H123" s="2">
        <v>3862</v>
      </c>
      <c r="I123" s="2"/>
      <c r="J123" s="19">
        <f t="shared" si="112"/>
        <v>3.6072556088995164E-2</v>
      </c>
      <c r="K123" s="2"/>
      <c r="L123" s="2">
        <f t="shared" si="113"/>
        <v>-3365.01</v>
      </c>
      <c r="M123" s="2"/>
      <c r="N123" s="19">
        <f t="shared" si="114"/>
        <v>-0.87131279129984474</v>
      </c>
      <c r="O123" s="11"/>
      <c r="P123" s="2">
        <f>--5341.48</f>
        <v>5341.48</v>
      </c>
      <c r="Q123" s="2"/>
      <c r="R123" s="19">
        <f t="shared" si="115"/>
        <v>1.1624719693911486E-2</v>
      </c>
      <c r="S123" s="2"/>
      <c r="T123" s="2">
        <v>23504</v>
      </c>
      <c r="U123" s="2"/>
      <c r="V123" s="19">
        <f t="shared" si="116"/>
        <v>3.084053041933359E-2</v>
      </c>
      <c r="W123" s="2"/>
      <c r="X123" s="2">
        <f t="shared" si="117"/>
        <v>-18162.52</v>
      </c>
      <c r="Y123" s="2"/>
      <c r="Z123" s="19">
        <f t="shared" si="118"/>
        <v>-0.77274166099387342</v>
      </c>
    </row>
    <row r="124" spans="1:26" s="24" customFormat="1" hidden="1" outlineLevel="1" x14ac:dyDescent="0.25">
      <c r="A124" s="44"/>
      <c r="B124" s="11" t="str">
        <f>CONCATENATE("          ", "9151", " - ", "MISC. INCOME")</f>
        <v xml:space="preserve">          9151 - MISC. INCOME</v>
      </c>
      <c r="C124" s="11"/>
      <c r="D124" s="2">
        <f>0</f>
        <v>0</v>
      </c>
      <c r="E124" s="2"/>
      <c r="F124" s="19">
        <f t="shared" si="111"/>
        <v>0</v>
      </c>
      <c r="G124" s="2"/>
      <c r="H124" s="2">
        <v>7070</v>
      </c>
      <c r="I124" s="2"/>
      <c r="J124" s="19">
        <f t="shared" si="112"/>
        <v>6.6036502213670578E-2</v>
      </c>
      <c r="K124" s="2"/>
      <c r="L124" s="2">
        <f t="shared" si="113"/>
        <v>-7070</v>
      </c>
      <c r="M124" s="2"/>
      <c r="N124" s="19">
        <f t="shared" si="114"/>
        <v>-1</v>
      </c>
      <c r="O124" s="11"/>
      <c r="P124" s="2">
        <f>0</f>
        <v>0</v>
      </c>
      <c r="Q124" s="2"/>
      <c r="R124" s="19">
        <f t="shared" si="115"/>
        <v>0</v>
      </c>
      <c r="S124" s="2"/>
      <c r="T124" s="2">
        <v>29368</v>
      </c>
      <c r="U124" s="2"/>
      <c r="V124" s="19">
        <f t="shared" si="116"/>
        <v>3.8534917348323219E-2</v>
      </c>
      <c r="W124" s="2"/>
      <c r="X124" s="2">
        <f t="shared" si="117"/>
        <v>-29368</v>
      </c>
      <c r="Y124" s="2"/>
      <c r="Z124" s="19">
        <f t="shared" si="118"/>
        <v>-1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--732.1</f>
        <v>732.1</v>
      </c>
      <c r="E125" s="2"/>
      <c r="F125" s="19">
        <f t="shared" si="111"/>
        <v>1.0009665117157928E-2</v>
      </c>
      <c r="G125" s="2"/>
      <c r="H125" s="2">
        <v>1364</v>
      </c>
      <c r="I125" s="2"/>
      <c r="J125" s="19">
        <f t="shared" si="112"/>
        <v>1.2740281332312118E-2</v>
      </c>
      <c r="K125" s="2"/>
      <c r="L125" s="2">
        <f t="shared" si="113"/>
        <v>-631.9</v>
      </c>
      <c r="M125" s="2"/>
      <c r="N125" s="19">
        <f t="shared" si="114"/>
        <v>-0.46326979472140761</v>
      </c>
      <c r="O125" s="11"/>
      <c r="P125" s="2">
        <f>--13615.06</f>
        <v>13615.06</v>
      </c>
      <c r="Q125" s="2"/>
      <c r="R125" s="19">
        <f t="shared" si="115"/>
        <v>2.9630599780545188E-2</v>
      </c>
      <c r="S125" s="2"/>
      <c r="T125" s="2">
        <v>10815</v>
      </c>
      <c r="U125" s="2"/>
      <c r="V125" s="19">
        <f t="shared" si="116"/>
        <v>1.4190790354198977E-2</v>
      </c>
      <c r="W125" s="2"/>
      <c r="X125" s="2">
        <f t="shared" si="117"/>
        <v>2800.0599999999995</v>
      </c>
      <c r="Y125" s="2"/>
      <c r="Z125" s="19">
        <f t="shared" si="118"/>
        <v>0.25890522422561252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--350.65</f>
        <v>350.65</v>
      </c>
      <c r="E126" s="2"/>
      <c r="F126" s="19">
        <f t="shared" si="111"/>
        <v>4.7942754723827715E-3</v>
      </c>
      <c r="G126" s="2"/>
      <c r="H126" s="2"/>
      <c r="I126" s="2"/>
      <c r="J126" s="19">
        <f t="shared" si="112"/>
        <v>0</v>
      </c>
      <c r="K126" s="2"/>
      <c r="L126" s="2">
        <f t="shared" si="113"/>
        <v>350.65</v>
      </c>
      <c r="M126" s="2"/>
      <c r="N126" s="19">
        <f t="shared" si="114"/>
        <v>0</v>
      </c>
      <c r="O126" s="11"/>
      <c r="P126" s="2">
        <f>--3488.86</f>
        <v>3488.86</v>
      </c>
      <c r="Q126" s="2"/>
      <c r="R126" s="19">
        <f t="shared" si="115"/>
        <v>7.5928430980365044E-3</v>
      </c>
      <c r="S126" s="2"/>
      <c r="T126" s="2"/>
      <c r="U126" s="2"/>
      <c r="V126" s="19">
        <f t="shared" si="116"/>
        <v>0</v>
      </c>
      <c r="W126" s="2"/>
      <c r="X126" s="2">
        <f t="shared" si="117"/>
        <v>3488.86</v>
      </c>
      <c r="Y126" s="2"/>
      <c r="Z126" s="19">
        <f t="shared" si="118"/>
        <v>0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277</v>
      </c>
      <c r="C128" s="28"/>
      <c r="D128" s="21">
        <f>+D32-D34+D122</f>
        <v>-66588.630000000063</v>
      </c>
      <c r="E128" s="14"/>
      <c r="F128" s="20">
        <f>IF(D$12=0,0,D128/D$12)</f>
        <v>-0.91043557835041189</v>
      </c>
      <c r="G128" s="14"/>
      <c r="H128" s="21">
        <f>+H32-H34+H122</f>
        <v>-116804.12182189102</v>
      </c>
      <c r="I128" s="14"/>
      <c r="J128" s="20">
        <f>IF(H$12=0,0,H128/H$12)</f>
        <v>-1.0909951413376457</v>
      </c>
      <c r="K128" s="16"/>
      <c r="L128" s="21">
        <f>+D128-H128</f>
        <v>50215.491821890959</v>
      </c>
      <c r="M128" s="16"/>
      <c r="N128" s="20">
        <f>IF(H128=0,0,L128/H128)</f>
        <v>-0.42991198459984264</v>
      </c>
      <c r="O128" s="29"/>
      <c r="P128" s="21">
        <f>+P32-P34+P122</f>
        <v>-907148.30000000028</v>
      </c>
      <c r="Q128" s="14"/>
      <c r="R128" s="20">
        <f>IF(P$12=0,0,P128/P$12)</f>
        <v>-1.974236486574569</v>
      </c>
      <c r="S128" s="14"/>
      <c r="T128" s="21">
        <f>+T32-T34+T122</f>
        <v>-1174653.961207926</v>
      </c>
      <c r="U128" s="14"/>
      <c r="V128" s="20">
        <f>IF(T$12=0,0,T128/T$12)</f>
        <v>-1.5413100418151695</v>
      </c>
      <c r="W128" s="16"/>
      <c r="X128" s="21">
        <f>+P128-T128</f>
        <v>267505.66120792576</v>
      </c>
      <c r="Y128" s="16"/>
      <c r="Z128" s="20">
        <f>IF(T128=0,0,X128/T128)</f>
        <v>-0.22773145968268221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2"/>
      <c r="B130" s="10" t="s">
        <v>128</v>
      </c>
      <c r="C130" s="10"/>
      <c r="D130" s="4">
        <v>16503.580000000002</v>
      </c>
      <c r="E130" s="4"/>
      <c r="F130" s="12">
        <f>IF(D$12=0,0,D130/D$12)</f>
        <v>0.22564582575362008</v>
      </c>
      <c r="G130" s="4"/>
      <c r="H130" s="4">
        <v>22214</v>
      </c>
      <c r="I130" s="4"/>
      <c r="J130" s="12">
        <f>IF(H$12=0,0,H130/H$12)</f>
        <v>0.20748725037828547</v>
      </c>
      <c r="K130" s="4"/>
      <c r="L130" s="4">
        <f>+D130-H130</f>
        <v>-5710.4199999999983</v>
      </c>
      <c r="M130" s="4"/>
      <c r="N130" s="12">
        <f>IF(H130=0,0,L130/H130)</f>
        <v>-0.25706401368506338</v>
      </c>
      <c r="O130" s="10"/>
      <c r="P130" s="4">
        <v>96127.85</v>
      </c>
      <c r="Q130" s="4"/>
      <c r="R130" s="12">
        <f>IF(P$12=0,0,P130/P$12)</f>
        <v>0.20920406161370431</v>
      </c>
      <c r="S130" s="4"/>
      <c r="T130" s="4">
        <v>138053</v>
      </c>
      <c r="U130" s="4"/>
      <c r="V130" s="12">
        <f>IF(T$12=0,0,T130/T$12)</f>
        <v>0.18114481560501447</v>
      </c>
      <c r="W130" s="4"/>
      <c r="X130" s="4">
        <f>+P130-T130</f>
        <v>-41925.149999999994</v>
      </c>
      <c r="Y130" s="4"/>
      <c r="Z130" s="12">
        <f>IF(T130=0,0,X130/T130)</f>
        <v>-0.30368880067800041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126</v>
      </c>
      <c r="C132" s="28"/>
      <c r="D132" s="31">
        <f>+D128-D130</f>
        <v>-83092.210000000065</v>
      </c>
      <c r="E132" s="14"/>
      <c r="F132" s="33">
        <f>IF(D$12=0,0,D132/D$12)</f>
        <v>-1.1360814041040319</v>
      </c>
      <c r="G132" s="14"/>
      <c r="H132" s="31">
        <f>+H128-H130</f>
        <v>-139018.12182189102</v>
      </c>
      <c r="I132" s="14"/>
      <c r="J132" s="33">
        <f>IF(H$12=0,0,H132/H$12)</f>
        <v>-1.2984823917159312</v>
      </c>
      <c r="K132" s="16"/>
      <c r="L132" s="31">
        <f>D132-H132</f>
        <v>55925.911821890957</v>
      </c>
      <c r="M132" s="16"/>
      <c r="N132" s="33">
        <f>IF(H132=0,0,L132/H132)</f>
        <v>-0.40229224139240505</v>
      </c>
      <c r="O132" s="29"/>
      <c r="P132" s="31">
        <f>+P128-P130</f>
        <v>-1003276.1500000003</v>
      </c>
      <c r="Q132" s="14"/>
      <c r="R132" s="33">
        <f>IF(P$12=0,0,P132/P$12)</f>
        <v>-2.183440548188273</v>
      </c>
      <c r="S132" s="14"/>
      <c r="T132" s="31">
        <f>+T128-T130</f>
        <v>-1312706.961207926</v>
      </c>
      <c r="U132" s="14"/>
      <c r="V132" s="33">
        <f>IF(T$12=0,0,T132/T$12)</f>
        <v>-1.7224548574201839</v>
      </c>
      <c r="W132" s="16"/>
      <c r="X132" s="31">
        <f>P132-T132</f>
        <v>309430.81120792578</v>
      </c>
      <c r="Y132" s="16"/>
      <c r="Z132" s="33">
        <f>IF(T132=0,0,X132/T132)</f>
        <v>-0.23571963915175242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294</v>
      </c>
      <c r="C135" s="28"/>
      <c r="D135" s="34">
        <f>SUM(D132:D134)</f>
        <v>-83092.210000000065</v>
      </c>
      <c r="E135" s="14"/>
      <c r="F135" s="35">
        <f>IF(D$12=0,0,D135/D$12)</f>
        <v>-1.1360814041040319</v>
      </c>
      <c r="G135" s="14"/>
      <c r="H135" s="34">
        <f>SUM(H132:H134)</f>
        <v>-139018.12182189102</v>
      </c>
      <c r="I135" s="14"/>
      <c r="J135" s="35">
        <f>IF(H$12=0,0,H135/H$12)</f>
        <v>-1.2984823917159312</v>
      </c>
      <c r="K135" s="16"/>
      <c r="L135" s="34">
        <f>+D135-H135</f>
        <v>55925.911821890957</v>
      </c>
      <c r="M135" s="16"/>
      <c r="N135" s="35">
        <f>IF(H135=0,0,L135/H135)</f>
        <v>-0.40229224139240505</v>
      </c>
      <c r="O135" s="29"/>
      <c r="P135" s="34">
        <f>SUM(P132:P134)</f>
        <v>-1003276.1500000003</v>
      </c>
      <c r="Q135" s="14"/>
      <c r="R135" s="35">
        <f>IF(P$12=0,0,P135/P$12)</f>
        <v>-2.183440548188273</v>
      </c>
      <c r="S135" s="14"/>
      <c r="T135" s="34">
        <f>SUM(T132:T134)</f>
        <v>-1312706.961207926</v>
      </c>
      <c r="U135" s="14"/>
      <c r="V135" s="35">
        <f>IF(T$12=0,0,T135/T$12)</f>
        <v>-1.7224548574201839</v>
      </c>
      <c r="W135" s="16"/>
      <c r="X135" s="34">
        <f>+P135-T135</f>
        <v>309430.81120792578</v>
      </c>
      <c r="Y135" s="16"/>
      <c r="Z135" s="35">
        <f>IF(T135=0,0,X135/T135)</f>
        <v>-0.23571963915175242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2">
        <v>44330.005796412035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6" t="s">
        <v>56</v>
      </c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A139" s="9"/>
      <c r="B139" s="55"/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106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73087.41</v>
      </c>
      <c r="E12" s="4"/>
      <c r="F12" s="12"/>
      <c r="G12" s="4"/>
      <c r="H12" s="4">
        <f>SUM(OSRRefH13x_0)</f>
        <v>15449</v>
      </c>
      <c r="I12" s="4"/>
      <c r="J12" s="12"/>
      <c r="K12" s="4"/>
      <c r="L12" s="4">
        <f t="shared" ref="L12:L19" si="0">+D12-H12</f>
        <v>57638.41</v>
      </c>
      <c r="M12" s="4"/>
      <c r="N12" s="12">
        <f t="shared" ref="N12:N19" si="1">IF(H12=0,0,L12/H12)</f>
        <v>3.7308829050423977</v>
      </c>
      <c r="O12" s="10"/>
      <c r="P12" s="4">
        <f>SUM(OSRRefP13x_0)</f>
        <v>456620.31</v>
      </c>
      <c r="Q12" s="4"/>
      <c r="R12" s="12"/>
      <c r="S12" s="4"/>
      <c r="T12" s="4">
        <f>SUM(OSRRefT13x_0)</f>
        <v>209700</v>
      </c>
      <c r="U12" s="4"/>
      <c r="V12" s="12"/>
      <c r="W12" s="4"/>
      <c r="X12" s="4">
        <f t="shared" ref="X12:X19" si="2">+P12-T12</f>
        <v>246920.31</v>
      </c>
      <c r="Y12" s="4"/>
      <c r="Z12" s="12">
        <f t="shared" ref="Z12:Z19" si="3">IF(T12=0,0,X12/T12)</f>
        <v>1.1774931330472103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4805</v>
      </c>
      <c r="I13" s="2"/>
      <c r="J13" s="19"/>
      <c r="K13" s="2"/>
      <c r="L13" s="2">
        <f t="shared" si="0"/>
        <v>-4805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65222</v>
      </c>
      <c r="U13" s="2"/>
      <c r="V13" s="19"/>
      <c r="W13" s="2"/>
      <c r="X13" s="2">
        <f t="shared" si="2"/>
        <v>-65222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--6552.2</f>
        <v>6552.2</v>
      </c>
      <c r="E14" s="2"/>
      <c r="F14" s="19"/>
      <c r="G14" s="2"/>
      <c r="H14" s="2"/>
      <c r="I14" s="2"/>
      <c r="J14" s="19"/>
      <c r="K14" s="2"/>
      <c r="L14" s="2">
        <f t="shared" si="0"/>
        <v>6552.2</v>
      </c>
      <c r="M14" s="2"/>
      <c r="N14" s="19">
        <f t="shared" si="1"/>
        <v>0</v>
      </c>
      <c r="O14" s="11"/>
      <c r="P14" s="2">
        <f>--32121.26</f>
        <v>32121.26</v>
      </c>
      <c r="Q14" s="2"/>
      <c r="R14" s="19"/>
      <c r="S14" s="2"/>
      <c r="T14" s="2"/>
      <c r="U14" s="2"/>
      <c r="V14" s="19"/>
      <c r="W14" s="2"/>
      <c r="X14" s="2">
        <f t="shared" si="2"/>
        <v>32121.26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--48734.68</f>
        <v>48734.68</v>
      </c>
      <c r="E15" s="2"/>
      <c r="F15" s="19"/>
      <c r="G15" s="2"/>
      <c r="H15" s="2"/>
      <c r="I15" s="2"/>
      <c r="J15" s="19"/>
      <c r="K15" s="2"/>
      <c r="L15" s="2">
        <f t="shared" si="0"/>
        <v>48734.68</v>
      </c>
      <c r="M15" s="2"/>
      <c r="N15" s="19">
        <f t="shared" si="1"/>
        <v>0</v>
      </c>
      <c r="O15" s="11"/>
      <c r="P15" s="2">
        <f>--380674.79</f>
        <v>380674.79</v>
      </c>
      <c r="Q15" s="2"/>
      <c r="R15" s="19"/>
      <c r="S15" s="2"/>
      <c r="T15" s="2"/>
      <c r="U15" s="2"/>
      <c r="V15" s="19"/>
      <c r="W15" s="2"/>
      <c r="X15" s="2">
        <f t="shared" si="2"/>
        <v>380674.79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--974.91</f>
        <v>974.91</v>
      </c>
      <c r="Q16" s="2"/>
      <c r="R16" s="19"/>
      <c r="S16" s="2"/>
      <c r="T16" s="2"/>
      <c r="U16" s="2"/>
      <c r="V16" s="19"/>
      <c r="W16" s="2"/>
      <c r="X16" s="2">
        <f t="shared" si="2"/>
        <v>974.91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10644</v>
      </c>
      <c r="I17" s="2"/>
      <c r="J17" s="19"/>
      <c r="K17" s="2"/>
      <c r="L17" s="2">
        <f t="shared" si="0"/>
        <v>-10644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144478</v>
      </c>
      <c r="U17" s="2"/>
      <c r="V17" s="19"/>
      <c r="W17" s="2"/>
      <c r="X17" s="2">
        <f t="shared" si="2"/>
        <v>-144478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--6219.58</f>
        <v>6219.58</v>
      </c>
      <c r="E18" s="2"/>
      <c r="F18" s="19"/>
      <c r="G18" s="2"/>
      <c r="H18" s="2"/>
      <c r="I18" s="2"/>
      <c r="J18" s="19"/>
      <c r="K18" s="2"/>
      <c r="L18" s="2">
        <f t="shared" si="0"/>
        <v>6219.58</v>
      </c>
      <c r="M18" s="2"/>
      <c r="N18" s="19">
        <f t="shared" si="1"/>
        <v>0</v>
      </c>
      <c r="O18" s="11"/>
      <c r="P18" s="2">
        <f>--31268.4</f>
        <v>31268.400000000001</v>
      </c>
      <c r="Q18" s="2"/>
      <c r="R18" s="19"/>
      <c r="S18" s="2"/>
      <c r="T18" s="2"/>
      <c r="U18" s="2"/>
      <c r="V18" s="19"/>
      <c r="W18" s="2"/>
      <c r="X18" s="2">
        <f t="shared" si="2"/>
        <v>31268.400000000001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--11580.95</f>
        <v>11580.95</v>
      </c>
      <c r="E19" s="2"/>
      <c r="F19" s="19"/>
      <c r="G19" s="2"/>
      <c r="H19" s="2"/>
      <c r="I19" s="2"/>
      <c r="J19" s="19"/>
      <c r="K19" s="2"/>
      <c r="L19" s="2">
        <f t="shared" si="0"/>
        <v>11580.95</v>
      </c>
      <c r="M19" s="2"/>
      <c r="N19" s="19">
        <f t="shared" si="1"/>
        <v>0</v>
      </c>
      <c r="O19" s="11"/>
      <c r="P19" s="2">
        <f>--11580.95</f>
        <v>11580.95</v>
      </c>
      <c r="Q19" s="2"/>
      <c r="R19" s="19"/>
      <c r="S19" s="2"/>
      <c r="T19" s="2"/>
      <c r="U19" s="2"/>
      <c r="V19" s="19"/>
      <c r="W19" s="2"/>
      <c r="X19" s="2">
        <f t="shared" si="2"/>
        <v>11580.95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9" t="s">
        <v>257</v>
      </c>
      <c r="C21" s="10"/>
      <c r="D21" s="4">
        <f>SUM(OSRRefD16x_0)</f>
        <v>3876.35</v>
      </c>
      <c r="E21" s="4"/>
      <c r="F21" s="12">
        <f t="shared" ref="F21:F24" si="5">IF(D$12=0,0,D21/D$12)</f>
        <v>5.3037178359446581E-2</v>
      </c>
      <c r="G21" s="4"/>
      <c r="H21" s="4">
        <f>SUM(OSRRefH16x_0)</f>
        <v>5098</v>
      </c>
      <c r="I21" s="4"/>
      <c r="J21" s="12">
        <f t="shared" ref="J21:J24" si="6">IF(H$12=0,0,H21/H$12)</f>
        <v>0.32998899605152437</v>
      </c>
      <c r="K21" s="4"/>
      <c r="L21" s="4">
        <f t="shared" ref="L21:L24" si="7">+D21-H21</f>
        <v>-1221.6500000000001</v>
      </c>
      <c r="M21" s="4"/>
      <c r="N21" s="12">
        <f t="shared" ref="N21:N24" si="8">IF(H21=0,0,L21/H21)</f>
        <v>-0.23963318948607298</v>
      </c>
      <c r="O21" s="10"/>
      <c r="P21" s="4">
        <f>SUM(OSRRefP16x_0)</f>
        <v>13520.3</v>
      </c>
      <c r="Q21" s="4"/>
      <c r="R21" s="12">
        <f t="shared" ref="R21:R24" si="9">IF(P$12=0,0,P21/P$12)</f>
        <v>2.9609502039013549E-2</v>
      </c>
      <c r="S21" s="4"/>
      <c r="T21" s="4">
        <f>SUM(OSRRefT16x_0)</f>
        <v>66294</v>
      </c>
      <c r="U21" s="4"/>
      <c r="V21" s="12">
        <f t="shared" ref="V21:V24" si="10">IF(T$12=0,0,T21/T$12)</f>
        <v>0.316137339055794</v>
      </c>
      <c r="W21" s="4"/>
      <c r="X21" s="4">
        <f t="shared" ref="X21:X24" si="11">+P21-T21</f>
        <v>-52773.7</v>
      </c>
      <c r="Y21" s="4"/>
      <c r="Z21" s="12">
        <f t="shared" ref="Z21:Z24" si="12">IF(T21=0,0,X21/T21)</f>
        <v>-0.79605544996530597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5"/>
        <v>0</v>
      </c>
      <c r="G22" s="2"/>
      <c r="H22" s="2">
        <v>5098</v>
      </c>
      <c r="I22" s="2"/>
      <c r="J22" s="19">
        <f t="shared" si="6"/>
        <v>0.32998899605152437</v>
      </c>
      <c r="K22" s="2"/>
      <c r="L22" s="2">
        <f t="shared" si="7"/>
        <v>-5098</v>
      </c>
      <c r="M22" s="2"/>
      <c r="N22" s="19">
        <f t="shared" si="8"/>
        <v>-1</v>
      </c>
      <c r="O22" s="11"/>
      <c r="P22" s="2"/>
      <c r="Q22" s="2"/>
      <c r="R22" s="19">
        <f t="shared" si="9"/>
        <v>0</v>
      </c>
      <c r="S22" s="2"/>
      <c r="T22" s="2">
        <v>66294</v>
      </c>
      <c r="U22" s="2"/>
      <c r="V22" s="19">
        <f t="shared" si="10"/>
        <v>0.316137339055794</v>
      </c>
      <c r="W22" s="2"/>
      <c r="X22" s="2">
        <f t="shared" si="11"/>
        <v>-66294</v>
      </c>
      <c r="Y22" s="2"/>
      <c r="Z22" s="19">
        <f t="shared" si="12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3742.42</v>
      </c>
      <c r="E23" s="2"/>
      <c r="F23" s="19">
        <f t="shared" si="5"/>
        <v>5.1204715011792044E-2</v>
      </c>
      <c r="G23" s="2"/>
      <c r="H23" s="2"/>
      <c r="I23" s="2"/>
      <c r="J23" s="19">
        <f t="shared" si="6"/>
        <v>0</v>
      </c>
      <c r="K23" s="2"/>
      <c r="L23" s="2">
        <f t="shared" si="7"/>
        <v>3742.42</v>
      </c>
      <c r="M23" s="2"/>
      <c r="N23" s="19">
        <f t="shared" si="8"/>
        <v>0</v>
      </c>
      <c r="O23" s="11"/>
      <c r="P23" s="2">
        <v>8136.29</v>
      </c>
      <c r="Q23" s="2"/>
      <c r="R23" s="19">
        <f t="shared" si="9"/>
        <v>1.7818502203723701E-2</v>
      </c>
      <c r="S23" s="2"/>
      <c r="T23" s="2"/>
      <c r="U23" s="2"/>
      <c r="V23" s="19">
        <f t="shared" si="10"/>
        <v>0</v>
      </c>
      <c r="W23" s="2"/>
      <c r="X23" s="2">
        <f t="shared" si="11"/>
        <v>8136.29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133.93</v>
      </c>
      <c r="E24" s="2"/>
      <c r="F24" s="19">
        <f t="shared" si="5"/>
        <v>1.8324633476545413E-3</v>
      </c>
      <c r="G24" s="2"/>
      <c r="H24" s="2"/>
      <c r="I24" s="2"/>
      <c r="J24" s="19">
        <f t="shared" si="6"/>
        <v>0</v>
      </c>
      <c r="K24" s="2"/>
      <c r="L24" s="2">
        <f t="shared" si="7"/>
        <v>133.93</v>
      </c>
      <c r="M24" s="2"/>
      <c r="N24" s="19">
        <f t="shared" si="8"/>
        <v>0</v>
      </c>
      <c r="O24" s="11"/>
      <c r="P24" s="2">
        <v>5384.01</v>
      </c>
      <c r="Q24" s="2"/>
      <c r="R24" s="19">
        <f t="shared" si="9"/>
        <v>1.1790999835289849E-2</v>
      </c>
      <c r="S24" s="2"/>
      <c r="T24" s="2"/>
      <c r="U24" s="2"/>
      <c r="V24" s="19">
        <f t="shared" si="10"/>
        <v>0</v>
      </c>
      <c r="W24" s="2"/>
      <c r="X24" s="2">
        <f t="shared" si="11"/>
        <v>5384.01</v>
      </c>
      <c r="Y24" s="2"/>
      <c r="Z24" s="19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108</v>
      </c>
      <c r="C26" s="28"/>
      <c r="D26" s="21">
        <f>D12-D21</f>
        <v>69211.06</v>
      </c>
      <c r="E26" s="14"/>
      <c r="F26" s="20">
        <f>IF(D$12=0,0,D26/D$12)</f>
        <v>0.94696282164055334</v>
      </c>
      <c r="G26" s="14"/>
      <c r="H26" s="21">
        <f>H12-H21</f>
        <v>10351</v>
      </c>
      <c r="I26" s="14"/>
      <c r="J26" s="20">
        <f>IF(H$12=0,0,H26/H$12)</f>
        <v>0.67001100394847568</v>
      </c>
      <c r="K26" s="16"/>
      <c r="L26" s="21">
        <f>+D26-H26</f>
        <v>58860.06</v>
      </c>
      <c r="M26" s="16"/>
      <c r="N26" s="20">
        <f>IF(H26=0,0,L26/H26)</f>
        <v>5.6864129069655105</v>
      </c>
      <c r="O26" s="29"/>
      <c r="P26" s="21">
        <f>P12-P21</f>
        <v>443100.01</v>
      </c>
      <c r="Q26" s="14"/>
      <c r="R26" s="20">
        <f>IF(P$12=0,0,P26/P$12)</f>
        <v>0.97039049796098642</v>
      </c>
      <c r="S26" s="14"/>
      <c r="T26" s="21">
        <f>T12-T21</f>
        <v>143406</v>
      </c>
      <c r="U26" s="14"/>
      <c r="V26" s="20">
        <f>IF(T$12=0,0,T26/T$12)</f>
        <v>0.683862660944206</v>
      </c>
      <c r="W26" s="16"/>
      <c r="X26" s="21">
        <f>+P26-T26</f>
        <v>299694.01</v>
      </c>
      <c r="Y26" s="16"/>
      <c r="Z26" s="20">
        <f>IF(T26=0,0,X26/T26)</f>
        <v>2.0898289471849156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295</v>
      </c>
      <c r="C28" s="10"/>
      <c r="D28" s="22">
        <f>SUM(OSRRefD22x_0)</f>
        <v>121656.65000000002</v>
      </c>
      <c r="E28" s="22"/>
      <c r="F28" s="32">
        <f t="shared" ref="F28:F38" si="13">IF(D$12=0,0,D28/D$12)</f>
        <v>1.6645363408006935</v>
      </c>
      <c r="G28" s="22"/>
      <c r="H28" s="22">
        <f>SUM(OSRRefH22x_0)</f>
        <v>114693.43279739101</v>
      </c>
      <c r="I28" s="22"/>
      <c r="J28" s="32">
        <f t="shared" ref="J28:J38" si="14">IF(H$12=0,0,H28/H$12)</f>
        <v>7.4240036764444959</v>
      </c>
      <c r="K28" s="4"/>
      <c r="L28" s="22">
        <f t="shared" ref="L28:L38" si="15">+D28-H28</f>
        <v>6963.217202609012</v>
      </c>
      <c r="M28" s="4"/>
      <c r="N28" s="32">
        <f t="shared" ref="N28:N38" si="16">IF(H28=0,0,L28/H28)</f>
        <v>6.0711559788342195E-2</v>
      </c>
      <c r="O28" s="10"/>
      <c r="P28" s="22">
        <f>SUM(OSRRefP22x_0)</f>
        <v>1114041.6900000004</v>
      </c>
      <c r="Q28" s="22"/>
      <c r="R28" s="32">
        <f t="shared" ref="R28:R38" si="17">IF(P$12=0,0,P28/P$12)</f>
        <v>2.43975501221135</v>
      </c>
      <c r="S28" s="22"/>
      <c r="T28" s="22">
        <f>SUM(OSRRefT22x_0)</f>
        <v>1108591.9287704262</v>
      </c>
      <c r="U28" s="22"/>
      <c r="V28" s="32">
        <f t="shared" ref="V28:V38" si="18">IF(T$12=0,0,T28/T$12)</f>
        <v>5.2865614152142406</v>
      </c>
      <c r="W28" s="4"/>
      <c r="X28" s="22">
        <f t="shared" ref="X28:X38" si="19">+P28-T28</f>
        <v>5449.7612295742147</v>
      </c>
      <c r="Y28" s="4"/>
      <c r="Z28" s="32">
        <f t="shared" ref="Z28:Z38" si="20">IF(T28=0,0,X28/T28)</f>
        <v>4.9159308201158517E-3</v>
      </c>
    </row>
    <row r="29" spans="1:26" s="25" customFormat="1" outlineLevel="1" collapsed="1" x14ac:dyDescent="0.25">
      <c r="A29" s="27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22024.969999999998</v>
      </c>
      <c r="E29" s="1"/>
      <c r="F29" s="5">
        <f t="shared" si="13"/>
        <v>0.30135108084962919</v>
      </c>
      <c r="G29" s="1"/>
      <c r="H29" s="1">
        <f>SUM(OSRRefH22_0x_0)</f>
        <v>15774.350348673079</v>
      </c>
      <c r="I29" s="1"/>
      <c r="J29" s="5">
        <f t="shared" si="14"/>
        <v>1.0210596380783921</v>
      </c>
      <c r="K29" s="1"/>
      <c r="L29" s="1">
        <f t="shared" si="15"/>
        <v>6250.6196513269188</v>
      </c>
      <c r="M29" s="1"/>
      <c r="N29" s="5">
        <f t="shared" si="16"/>
        <v>0.39625211264898236</v>
      </c>
      <c r="O29" s="13"/>
      <c r="P29" s="1">
        <f>SUM(OSRRefP22_0x_0)</f>
        <v>208840.94</v>
      </c>
      <c r="Q29" s="1"/>
      <c r="R29" s="5">
        <f t="shared" si="17"/>
        <v>0.45736235429387712</v>
      </c>
      <c r="S29" s="1"/>
      <c r="T29" s="1">
        <f>SUM(OSRRefT22_0x_0)</f>
        <v>140048.78962170766</v>
      </c>
      <c r="U29" s="1"/>
      <c r="V29" s="5">
        <f t="shared" si="18"/>
        <v>0.66785307401863458</v>
      </c>
      <c r="W29" s="1"/>
      <c r="X29" s="1">
        <f t="shared" si="19"/>
        <v>68792.150378292339</v>
      </c>
      <c r="Y29" s="1"/>
      <c r="Z29" s="5">
        <f t="shared" si="20"/>
        <v>0.49120132036920872</v>
      </c>
    </row>
    <row r="30" spans="1:26" s="24" customFormat="1" hidden="1" outlineLevel="2" x14ac:dyDescent="0.25">
      <c r="A30" s="26"/>
      <c r="B30" s="11" t="str">
        <f>CONCATENATE("          ", "6111", " - ", "F.I.C.A.")</f>
        <v xml:space="preserve">          6111 - F.I.C.A.</v>
      </c>
      <c r="C30" s="11"/>
      <c r="D30" s="7">
        <v>3515.25</v>
      </c>
      <c r="E30" s="2"/>
      <c r="F30" s="6">
        <f t="shared" si="13"/>
        <v>4.8096518949022816E-2</v>
      </c>
      <c r="G30" s="2"/>
      <c r="H30" s="7">
        <v>1857.1736727115399</v>
      </c>
      <c r="I30" s="2"/>
      <c r="J30" s="6">
        <f t="shared" si="14"/>
        <v>0.12021319649890219</v>
      </c>
      <c r="K30" s="2"/>
      <c r="L30" s="7">
        <f t="shared" si="15"/>
        <v>1658.0763272884601</v>
      </c>
      <c r="M30" s="2"/>
      <c r="N30" s="6">
        <f t="shared" si="16"/>
        <v>0.89279551592372586</v>
      </c>
      <c r="O30" s="11"/>
      <c r="P30" s="7">
        <v>25585.29</v>
      </c>
      <c r="Q30" s="2"/>
      <c r="R30" s="6">
        <f t="shared" si="17"/>
        <v>5.6031870330077962E-2</v>
      </c>
      <c r="S30" s="2"/>
      <c r="T30" s="7">
        <v>16364.2965178615</v>
      </c>
      <c r="U30" s="2"/>
      <c r="V30" s="6">
        <f t="shared" si="18"/>
        <v>7.8036702517222223E-2</v>
      </c>
      <c r="W30" s="2"/>
      <c r="X30" s="7">
        <f t="shared" si="19"/>
        <v>9220.9934821385013</v>
      </c>
      <c r="Y30" s="2"/>
      <c r="Z30" s="6">
        <f t="shared" si="20"/>
        <v>0.56348242480658184</v>
      </c>
    </row>
    <row r="31" spans="1:26" s="24" customFormat="1" hidden="1" outlineLevel="2" x14ac:dyDescent="0.25">
      <c r="A31" s="26"/>
      <c r="B31" s="11" t="str">
        <f>CONCATENATE("          ", "6112", " - ", "COMPENSATION INSURANCE")</f>
        <v xml:space="preserve">          6112 - COMPENSATION INSURANCE</v>
      </c>
      <c r="C31" s="11"/>
      <c r="D31" s="7">
        <v>611.07000000000005</v>
      </c>
      <c r="E31" s="2"/>
      <c r="F31" s="6">
        <f t="shared" si="13"/>
        <v>8.3608107059752156E-3</v>
      </c>
      <c r="G31" s="2"/>
      <c r="H31" s="7">
        <v>955.58351942307695</v>
      </c>
      <c r="I31" s="2"/>
      <c r="J31" s="6">
        <f t="shared" si="14"/>
        <v>6.185406948171901E-2</v>
      </c>
      <c r="K31" s="2"/>
      <c r="L31" s="7">
        <f t="shared" si="15"/>
        <v>-344.5135194230769</v>
      </c>
      <c r="M31" s="2"/>
      <c r="N31" s="6">
        <f t="shared" si="16"/>
        <v>-0.36052685340478996</v>
      </c>
      <c r="O31" s="11"/>
      <c r="P31" s="7">
        <v>7014.54</v>
      </c>
      <c r="Q31" s="2"/>
      <c r="R31" s="6">
        <f t="shared" si="17"/>
        <v>1.5361865966934323E-2</v>
      </c>
      <c r="S31" s="2"/>
      <c r="T31" s="7">
        <v>6823.6144629230803</v>
      </c>
      <c r="U31" s="2"/>
      <c r="V31" s="6">
        <f t="shared" si="18"/>
        <v>3.2539887758336099E-2</v>
      </c>
      <c r="W31" s="2"/>
      <c r="X31" s="7">
        <f t="shared" si="19"/>
        <v>190.92553707691968</v>
      </c>
      <c r="Y31" s="2"/>
      <c r="Z31" s="6">
        <f t="shared" si="20"/>
        <v>2.7980117885372375E-2</v>
      </c>
    </row>
    <row r="32" spans="1:26" s="24" customFormat="1" hidden="1" outlineLevel="2" x14ac:dyDescent="0.25">
      <c r="A32" s="26"/>
      <c r="B32" s="11" t="str">
        <f>CONCATENATE("          ", "6113", " - ", "GROUP INSURANCE")</f>
        <v xml:space="preserve">          6113 - GROUP INSURANCE</v>
      </c>
      <c r="C32" s="11"/>
      <c r="D32" s="7">
        <v>8554.93</v>
      </c>
      <c r="E32" s="2"/>
      <c r="F32" s="6">
        <f t="shared" si="13"/>
        <v>0.11705066577130042</v>
      </c>
      <c r="G32" s="2"/>
      <c r="H32" s="7">
        <v>8037.6923076923003</v>
      </c>
      <c r="I32" s="2"/>
      <c r="J32" s="6">
        <f t="shared" si="14"/>
        <v>0.52027265892240926</v>
      </c>
      <c r="K32" s="2"/>
      <c r="L32" s="7">
        <f t="shared" si="15"/>
        <v>517.23769230769994</v>
      </c>
      <c r="M32" s="2"/>
      <c r="N32" s="6">
        <f t="shared" si="16"/>
        <v>6.435151689156958E-2</v>
      </c>
      <c r="O32" s="11"/>
      <c r="P32" s="7">
        <v>95151.57</v>
      </c>
      <c r="Q32" s="2"/>
      <c r="R32" s="6">
        <f t="shared" si="17"/>
        <v>0.20838225527024851</v>
      </c>
      <c r="S32" s="2"/>
      <c r="T32" s="7">
        <v>74472.576923076893</v>
      </c>
      <c r="U32" s="2"/>
      <c r="V32" s="6">
        <f t="shared" si="18"/>
        <v>0.355138659623638</v>
      </c>
      <c r="W32" s="2"/>
      <c r="X32" s="7">
        <f t="shared" si="19"/>
        <v>20678.993076923114</v>
      </c>
      <c r="Y32" s="2"/>
      <c r="Z32" s="6">
        <f t="shared" si="20"/>
        <v>0.27767258676012452</v>
      </c>
    </row>
    <row r="33" spans="1:26" s="24" customFormat="1" hidden="1" outlineLevel="2" x14ac:dyDescent="0.25">
      <c r="A33" s="26"/>
      <c r="B33" s="11" t="str">
        <f>CONCATENATE("          ", "6114", " - ", "STATE UNEMPLOYMENT INSURANCE")</f>
        <v xml:space="preserve">          6114 - STATE UNEMPLOYMENT INSURANCE</v>
      </c>
      <c r="C33" s="11"/>
      <c r="D33" s="7">
        <v>78.72</v>
      </c>
      <c r="E33" s="2"/>
      <c r="F33" s="6">
        <f t="shared" si="13"/>
        <v>1.0770664879217911E-3</v>
      </c>
      <c r="G33" s="2"/>
      <c r="H33" s="7">
        <v>91.121844999999993</v>
      </c>
      <c r="I33" s="2"/>
      <c r="J33" s="6">
        <f t="shared" si="14"/>
        <v>5.8982358081429214E-3</v>
      </c>
      <c r="K33" s="2"/>
      <c r="L33" s="7">
        <f t="shared" si="15"/>
        <v>-12.401844999999994</v>
      </c>
      <c r="M33" s="2"/>
      <c r="N33" s="6">
        <f t="shared" si="16"/>
        <v>-0.13610177669251533</v>
      </c>
      <c r="O33" s="11"/>
      <c r="P33" s="7">
        <v>911.97</v>
      </c>
      <c r="Q33" s="2"/>
      <c r="R33" s="6">
        <f t="shared" si="17"/>
        <v>1.997217337967293E-3</v>
      </c>
      <c r="S33" s="2"/>
      <c r="T33" s="7">
        <v>705.78008399999999</v>
      </c>
      <c r="U33" s="2"/>
      <c r="V33" s="6">
        <f t="shared" si="18"/>
        <v>3.365665636623748E-3</v>
      </c>
      <c r="W33" s="2"/>
      <c r="X33" s="7">
        <f t="shared" si="19"/>
        <v>206.18991600000004</v>
      </c>
      <c r="Y33" s="2"/>
      <c r="Z33" s="6">
        <f t="shared" si="20"/>
        <v>0.29214470721732644</v>
      </c>
    </row>
    <row r="34" spans="1:26" s="24" customFormat="1" hidden="1" outlineLevel="2" x14ac:dyDescent="0.25">
      <c r="A34" s="26"/>
      <c r="B34" s="11" t="str">
        <f>CONCATENATE("          ", "6115", " - ", "P.E.R.S.")</f>
        <v xml:space="preserve">          6115 - P.E.R.S.</v>
      </c>
      <c r="C34" s="11"/>
      <c r="D34" s="7">
        <v>2720.89</v>
      </c>
      <c r="E34" s="2"/>
      <c r="F34" s="6">
        <f t="shared" si="13"/>
        <v>3.7227889180913645E-2</v>
      </c>
      <c r="G34" s="2"/>
      <c r="H34" s="7">
        <v>1732.6646576923099</v>
      </c>
      <c r="I34" s="2"/>
      <c r="J34" s="6">
        <f t="shared" si="14"/>
        <v>0.1121538389340611</v>
      </c>
      <c r="K34" s="2"/>
      <c r="L34" s="7">
        <f t="shared" si="15"/>
        <v>988.22534230768997</v>
      </c>
      <c r="M34" s="2"/>
      <c r="N34" s="6">
        <f t="shared" si="16"/>
        <v>0.57035003162347708</v>
      </c>
      <c r="O34" s="11"/>
      <c r="P34" s="7">
        <v>32430.99</v>
      </c>
      <c r="Q34" s="2"/>
      <c r="R34" s="6">
        <f t="shared" si="17"/>
        <v>7.1023976134570108E-2</v>
      </c>
      <c r="S34" s="2"/>
      <c r="T34" s="7">
        <v>15247.4489876923</v>
      </c>
      <c r="U34" s="2"/>
      <c r="V34" s="6">
        <f t="shared" si="18"/>
        <v>7.2710772473496901E-2</v>
      </c>
      <c r="W34" s="2"/>
      <c r="X34" s="7">
        <f t="shared" si="19"/>
        <v>17183.541012307702</v>
      </c>
      <c r="Y34" s="2"/>
      <c r="Z34" s="6">
        <f t="shared" si="20"/>
        <v>1.1269780949048074</v>
      </c>
    </row>
    <row r="35" spans="1:26" s="24" customFormat="1" hidden="1" outlineLevel="2" x14ac:dyDescent="0.25">
      <c r="A35" s="26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13"/>
        <v>0</v>
      </c>
      <c r="G35" s="2"/>
      <c r="H35" s="7">
        <v>0</v>
      </c>
      <c r="I35" s="2"/>
      <c r="J35" s="6">
        <f t="shared" si="14"/>
        <v>0</v>
      </c>
      <c r="K35" s="2"/>
      <c r="L35" s="7">
        <f t="shared" si="15"/>
        <v>0</v>
      </c>
      <c r="M35" s="2"/>
      <c r="N35" s="6">
        <f t="shared" si="16"/>
        <v>0</v>
      </c>
      <c r="O35" s="11"/>
      <c r="P35" s="7"/>
      <c r="Q35" s="2"/>
      <c r="R35" s="6">
        <f t="shared" si="17"/>
        <v>0</v>
      </c>
      <c r="S35" s="2"/>
      <c r="T35" s="7">
        <v>0</v>
      </c>
      <c r="U35" s="2"/>
      <c r="V35" s="6">
        <f t="shared" si="18"/>
        <v>0</v>
      </c>
      <c r="W35" s="2"/>
      <c r="X35" s="7">
        <f t="shared" si="19"/>
        <v>0</v>
      </c>
      <c r="Y35" s="2"/>
      <c r="Z35" s="6">
        <f t="shared" si="20"/>
        <v>0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7">
        <v>3694.38</v>
      </c>
      <c r="E36" s="2"/>
      <c r="F36" s="6">
        <f t="shared" si="13"/>
        <v>5.0547419863421074E-2</v>
      </c>
      <c r="G36" s="2"/>
      <c r="H36" s="7">
        <v>1905.1900961538499</v>
      </c>
      <c r="I36" s="2"/>
      <c r="J36" s="6">
        <f t="shared" si="14"/>
        <v>0.12332125679033271</v>
      </c>
      <c r="K36" s="2"/>
      <c r="L36" s="7">
        <f t="shared" si="15"/>
        <v>1789.1899038461502</v>
      </c>
      <c r="M36" s="2"/>
      <c r="N36" s="6">
        <f t="shared" si="16"/>
        <v>0.93911358633352227</v>
      </c>
      <c r="O36" s="11"/>
      <c r="P36" s="7">
        <v>27129.3</v>
      </c>
      <c r="Q36" s="2"/>
      <c r="R36" s="6">
        <f t="shared" si="17"/>
        <v>5.9413257373505793E-2</v>
      </c>
      <c r="S36" s="2"/>
      <c r="T36" s="7">
        <v>16653.402846153898</v>
      </c>
      <c r="U36" s="2"/>
      <c r="V36" s="6">
        <f t="shared" si="18"/>
        <v>7.9415368841935619E-2</v>
      </c>
      <c r="W36" s="2"/>
      <c r="X36" s="7">
        <f t="shared" si="19"/>
        <v>10475.897153846101</v>
      </c>
      <c r="Y36" s="2"/>
      <c r="Z36" s="6">
        <f t="shared" si="20"/>
        <v>0.62905444914914244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7">
        <v>2074.29</v>
      </c>
      <c r="E37" s="2"/>
      <c r="F37" s="6">
        <f t="shared" si="13"/>
        <v>2.8380948237186128E-2</v>
      </c>
      <c r="G37" s="2"/>
      <c r="H37" s="7">
        <v>844.92425000000003</v>
      </c>
      <c r="I37" s="2"/>
      <c r="J37" s="6">
        <f t="shared" si="14"/>
        <v>5.4691193604764064E-2</v>
      </c>
      <c r="K37" s="2"/>
      <c r="L37" s="7">
        <f t="shared" si="15"/>
        <v>1229.3657499999999</v>
      </c>
      <c r="M37" s="2"/>
      <c r="N37" s="6">
        <f t="shared" si="16"/>
        <v>1.4550011435936416</v>
      </c>
      <c r="O37" s="11"/>
      <c r="P37" s="7">
        <v>15582.43</v>
      </c>
      <c r="Q37" s="2"/>
      <c r="R37" s="6">
        <f t="shared" si="17"/>
        <v>3.4125573608410016E-2</v>
      </c>
      <c r="S37" s="2"/>
      <c r="T37" s="7">
        <v>6281.6697999999997</v>
      </c>
      <c r="U37" s="2"/>
      <c r="V37" s="6">
        <f t="shared" si="18"/>
        <v>2.9955506914639961E-2</v>
      </c>
      <c r="W37" s="2"/>
      <c r="X37" s="7">
        <f t="shared" si="19"/>
        <v>9300.7602000000006</v>
      </c>
      <c r="Y37" s="2"/>
      <c r="Z37" s="6">
        <f t="shared" si="20"/>
        <v>1.4806190863454811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7">
        <v>775.44</v>
      </c>
      <c r="E38" s="2"/>
      <c r="F38" s="6">
        <f t="shared" si="13"/>
        <v>1.0609761653888132E-2</v>
      </c>
      <c r="G38" s="2"/>
      <c r="H38" s="7">
        <v>350</v>
      </c>
      <c r="I38" s="2"/>
      <c r="J38" s="6">
        <f t="shared" si="14"/>
        <v>2.2655188038060717E-2</v>
      </c>
      <c r="K38" s="2"/>
      <c r="L38" s="7">
        <f t="shared" si="15"/>
        <v>425.44000000000005</v>
      </c>
      <c r="M38" s="2"/>
      <c r="N38" s="6">
        <f t="shared" si="16"/>
        <v>1.2155428571428573</v>
      </c>
      <c r="O38" s="11"/>
      <c r="P38" s="7">
        <v>5034.8500000000004</v>
      </c>
      <c r="Q38" s="2"/>
      <c r="R38" s="6">
        <f t="shared" si="17"/>
        <v>1.1026338272163146E-2</v>
      </c>
      <c r="S38" s="2"/>
      <c r="T38" s="7">
        <v>3500</v>
      </c>
      <c r="U38" s="2"/>
      <c r="V38" s="6">
        <f t="shared" si="18"/>
        <v>1.6690510252742013E-2</v>
      </c>
      <c r="W38" s="2"/>
      <c r="X38" s="7">
        <f t="shared" si="19"/>
        <v>1534.8500000000004</v>
      </c>
      <c r="Y38" s="2"/>
      <c r="Z38" s="6">
        <f t="shared" si="20"/>
        <v>0.43852857142857155</v>
      </c>
    </row>
    <row r="39" spans="1:26" s="25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32003.24</v>
      </c>
      <c r="E39" s="1"/>
      <c r="F39" s="5">
        <f t="shared" ref="F39:F49" si="21">IF(D$12=0,0,D39/D$12)</f>
        <v>0.43787623613971272</v>
      </c>
      <c r="G39" s="1"/>
      <c r="H39" s="1">
        <f>SUM(OSRRefH22_1x_0)</f>
        <v>32296.749115384599</v>
      </c>
      <c r="I39" s="1"/>
      <c r="J39" s="5">
        <f t="shared" ref="J39:J49" si="22">IF(H$12=0,0,H39/H$12)</f>
        <v>2.090539783506026</v>
      </c>
      <c r="K39" s="1"/>
      <c r="L39" s="1">
        <f t="shared" ref="L39:L49" si="23">+D39-H39</f>
        <v>-293.50911538459695</v>
      </c>
      <c r="M39" s="1"/>
      <c r="N39" s="5">
        <f t="shared" ref="N39:N49" si="24">IF(H39=0,0,L39/H39)</f>
        <v>-9.0878841810361488E-3</v>
      </c>
      <c r="O39" s="13"/>
      <c r="P39" s="1">
        <f>SUM(OSRRefP22_1x_0)</f>
        <v>292927.56</v>
      </c>
      <c r="Q39" s="1"/>
      <c r="R39" s="5">
        <f t="shared" ref="R39:R49" si="25">IF(P$12=0,0,P39/P$12)</f>
        <v>0.64151233220440851</v>
      </c>
      <c r="S39" s="1"/>
      <c r="T39" s="1">
        <f>SUM(OSRRefT22_1x_0)</f>
        <v>248518.80581538501</v>
      </c>
      <c r="U39" s="1"/>
      <c r="V39" s="5">
        <f t="shared" ref="V39:V49" si="26">IF(T$12=0,0,T39/T$12)</f>
        <v>1.1851159075602529</v>
      </c>
      <c r="W39" s="1"/>
      <c r="X39" s="1">
        <f t="shared" ref="X39:X49" si="27">+P39-T39</f>
        <v>44408.754184614983</v>
      </c>
      <c r="Y39" s="1"/>
      <c r="Z39" s="5">
        <f t="shared" ref="Z39:Z49" si="28">IF(T39=0,0,X39/T39)</f>
        <v>0.17869373723614512</v>
      </c>
    </row>
    <row r="40" spans="1:26" s="24" customFormat="1" hidden="1" outlineLevel="2" x14ac:dyDescent="0.25">
      <c r="A40" s="26"/>
      <c r="B40" s="11" t="str">
        <f>CONCATENATE("          ", "6001", " - ", "ADMINISTRATIVE SALARIES")</f>
        <v xml:space="preserve">          6001 - ADMINISTRATIVE SALARIES</v>
      </c>
      <c r="C40" s="11"/>
      <c r="D40" s="7">
        <v>13836.92</v>
      </c>
      <c r="E40" s="2"/>
      <c r="F40" s="6">
        <f t="shared" si="21"/>
        <v>0.18932015787671228</v>
      </c>
      <c r="G40" s="2"/>
      <c r="H40" s="7">
        <v>12452.884615384601</v>
      </c>
      <c r="I40" s="2"/>
      <c r="J40" s="6">
        <f t="shared" si="22"/>
        <v>0.80606412165089003</v>
      </c>
      <c r="K40" s="2"/>
      <c r="L40" s="7">
        <f t="shared" si="23"/>
        <v>1384.0353846153994</v>
      </c>
      <c r="M40" s="2"/>
      <c r="N40" s="6">
        <f t="shared" si="24"/>
        <v>0.11114174967184133</v>
      </c>
      <c r="O40" s="11"/>
      <c r="P40" s="7">
        <v>111056.17</v>
      </c>
      <c r="Q40" s="2"/>
      <c r="R40" s="6">
        <f t="shared" si="25"/>
        <v>0.24321338225187575</v>
      </c>
      <c r="S40" s="2"/>
      <c r="T40" s="7">
        <v>109585.384615385</v>
      </c>
      <c r="U40" s="2"/>
      <c r="V40" s="6">
        <f t="shared" si="26"/>
        <v>0.52258171013536003</v>
      </c>
      <c r="W40" s="2"/>
      <c r="X40" s="7">
        <f t="shared" si="27"/>
        <v>1470.7853846149956</v>
      </c>
      <c r="Y40" s="2"/>
      <c r="Z40" s="6">
        <f t="shared" si="28"/>
        <v>1.342136444359851E-2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7">
        <v>14540.3</v>
      </c>
      <c r="E41" s="2"/>
      <c r="F41" s="6">
        <f t="shared" si="21"/>
        <v>0.19894397680804393</v>
      </c>
      <c r="G41" s="2"/>
      <c r="H41" s="7">
        <v>5679.6525000000001</v>
      </c>
      <c r="I41" s="2"/>
      <c r="J41" s="6">
        <f t="shared" si="22"/>
        <v>0.36763884393811896</v>
      </c>
      <c r="K41" s="2"/>
      <c r="L41" s="7">
        <f t="shared" si="23"/>
        <v>8860.6474999999991</v>
      </c>
      <c r="M41" s="2"/>
      <c r="N41" s="6">
        <f t="shared" si="24"/>
        <v>1.5600685957459544</v>
      </c>
      <c r="O41" s="11"/>
      <c r="P41" s="7">
        <v>149853.29</v>
      </c>
      <c r="Q41" s="2"/>
      <c r="R41" s="6">
        <f t="shared" si="25"/>
        <v>0.32817920429338765</v>
      </c>
      <c r="S41" s="2"/>
      <c r="T41" s="7">
        <v>49980.942000000003</v>
      </c>
      <c r="U41" s="2"/>
      <c r="V41" s="6">
        <f t="shared" si="26"/>
        <v>0.23834497854077255</v>
      </c>
      <c r="W41" s="2"/>
      <c r="X41" s="7">
        <f t="shared" si="27"/>
        <v>99872.347999999998</v>
      </c>
      <c r="Y41" s="2"/>
      <c r="Z41" s="6">
        <f t="shared" si="28"/>
        <v>1.9982085971889043</v>
      </c>
    </row>
    <row r="42" spans="1:26" s="24" customFormat="1" hidden="1" outlineLevel="2" x14ac:dyDescent="0.25">
      <c r="A42" s="26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7">
        <v>4020.03</v>
      </c>
      <c r="E43" s="2"/>
      <c r="F43" s="6">
        <f t="shared" si="21"/>
        <v>5.5003043615856687E-2</v>
      </c>
      <c r="G43" s="2"/>
      <c r="H43" s="7">
        <v>3708</v>
      </c>
      <c r="I43" s="2"/>
      <c r="J43" s="6">
        <f t="shared" si="22"/>
        <v>0.24001553498608325</v>
      </c>
      <c r="K43" s="2"/>
      <c r="L43" s="7">
        <f t="shared" si="23"/>
        <v>312.0300000000002</v>
      </c>
      <c r="M43" s="2"/>
      <c r="N43" s="6">
        <f t="shared" si="24"/>
        <v>8.4150485436893255E-2</v>
      </c>
      <c r="O43" s="11"/>
      <c r="P43" s="7">
        <v>28579.360000000001</v>
      </c>
      <c r="Q43" s="2"/>
      <c r="R43" s="6">
        <f t="shared" si="25"/>
        <v>6.2588893603966064E-2</v>
      </c>
      <c r="S43" s="2"/>
      <c r="T43" s="7">
        <v>30609.54</v>
      </c>
      <c r="U43" s="2"/>
      <c r="V43" s="6">
        <f t="shared" si="26"/>
        <v>0.14596824034334765</v>
      </c>
      <c r="W43" s="2"/>
      <c r="X43" s="7">
        <f t="shared" si="27"/>
        <v>-2030.1800000000003</v>
      </c>
      <c r="Y43" s="2"/>
      <c r="Z43" s="6">
        <f t="shared" si="28"/>
        <v>-6.6325073816855803E-2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7">
        <v>382.01</v>
      </c>
      <c r="E44" s="2"/>
      <c r="F44" s="6">
        <f t="shared" si="21"/>
        <v>5.2267551962779909E-3</v>
      </c>
      <c r="G44" s="2"/>
      <c r="H44" s="7">
        <v>5144.88</v>
      </c>
      <c r="I44" s="2"/>
      <c r="J44" s="6">
        <f t="shared" si="22"/>
        <v>0.33302349666645092</v>
      </c>
      <c r="K44" s="2"/>
      <c r="L44" s="7">
        <f t="shared" si="23"/>
        <v>-4762.87</v>
      </c>
      <c r="M44" s="2"/>
      <c r="N44" s="6">
        <f t="shared" si="24"/>
        <v>-0.92574948298113846</v>
      </c>
      <c r="O44" s="11"/>
      <c r="P44" s="7">
        <v>3291.05</v>
      </c>
      <c r="Q44" s="2"/>
      <c r="R44" s="6">
        <f t="shared" si="25"/>
        <v>7.2074104631920559E-3</v>
      </c>
      <c r="S44" s="2"/>
      <c r="T44" s="7">
        <v>30521.243999999999</v>
      </c>
      <c r="U44" s="2"/>
      <c r="V44" s="6">
        <f t="shared" si="26"/>
        <v>0.14554718168812589</v>
      </c>
      <c r="W44" s="2"/>
      <c r="X44" s="7">
        <f t="shared" si="27"/>
        <v>-27230.194</v>
      </c>
      <c r="Y44" s="2"/>
      <c r="Z44" s="6">
        <f t="shared" si="28"/>
        <v>-0.89217182628597969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7">
        <v>-776.02</v>
      </c>
      <c r="E46" s="2"/>
      <c r="F46" s="6">
        <f t="shared" si="21"/>
        <v>-1.0617697357178206E-2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-776.02</v>
      </c>
      <c r="M46" s="2"/>
      <c r="N46" s="6">
        <f t="shared" si="24"/>
        <v>0</v>
      </c>
      <c r="O46" s="11"/>
      <c r="P46" s="7">
        <v>147.69</v>
      </c>
      <c r="Q46" s="2"/>
      <c r="R46" s="6">
        <f t="shared" si="25"/>
        <v>3.2344159198700558E-4</v>
      </c>
      <c r="S46" s="2"/>
      <c r="T46" s="7">
        <v>2446.34</v>
      </c>
      <c r="U46" s="2"/>
      <c r="V46" s="6">
        <f t="shared" si="26"/>
        <v>1.1665903671912257E-2</v>
      </c>
      <c r="W46" s="2"/>
      <c r="X46" s="7">
        <f t="shared" si="27"/>
        <v>-2298.65</v>
      </c>
      <c r="Y46" s="2"/>
      <c r="Z46" s="6">
        <f t="shared" si="28"/>
        <v>-0.93962817923918995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1"/>
        <v>0</v>
      </c>
      <c r="G47" s="2"/>
      <c r="H47" s="7">
        <v>5311.3320000000003</v>
      </c>
      <c r="I47" s="2"/>
      <c r="J47" s="6">
        <f t="shared" si="22"/>
        <v>0.34379778626448315</v>
      </c>
      <c r="K47" s="2"/>
      <c r="L47" s="7">
        <f t="shared" si="23"/>
        <v>-5311.3320000000003</v>
      </c>
      <c r="M47" s="2"/>
      <c r="N47" s="6">
        <f t="shared" si="24"/>
        <v>-1</v>
      </c>
      <c r="O47" s="11"/>
      <c r="P47" s="7"/>
      <c r="Q47" s="2"/>
      <c r="R47" s="6">
        <f t="shared" si="25"/>
        <v>0</v>
      </c>
      <c r="S47" s="2"/>
      <c r="T47" s="7">
        <v>25375.355200000002</v>
      </c>
      <c r="U47" s="2"/>
      <c r="V47" s="6">
        <f t="shared" si="26"/>
        <v>0.12100789318073439</v>
      </c>
      <c r="W47" s="2"/>
      <c r="X47" s="7">
        <f t="shared" si="27"/>
        <v>-25375.355200000002</v>
      </c>
      <c r="Y47" s="2"/>
      <c r="Z47" s="6">
        <f t="shared" si="28"/>
        <v>-1</v>
      </c>
    </row>
    <row r="48" spans="1:26" s="24" customFormat="1" hidden="1" outlineLevel="2" x14ac:dyDescent="0.25">
      <c r="A48" s="26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4" customFormat="1" hidden="1" outlineLevel="2" x14ac:dyDescent="0.25">
      <c r="A49" s="26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5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68.13</v>
      </c>
      <c r="E50" s="1"/>
      <c r="F50" s="5">
        <f t="shared" ref="F50:F59" si="29">IF(D$12=0,0,D50/D$12)</f>
        <v>9.3217149164267815E-4</v>
      </c>
      <c r="G50" s="1"/>
      <c r="H50" s="1">
        <f>SUM(OSRRefH22_2x_0)</f>
        <v>320</v>
      </c>
      <c r="I50" s="1"/>
      <c r="J50" s="5">
        <f t="shared" ref="J50:J59" si="30">IF(H$12=0,0,H50/H$12)</f>
        <v>2.0713314777655513E-2</v>
      </c>
      <c r="K50" s="1"/>
      <c r="L50" s="1">
        <f t="shared" ref="L50:L59" si="31">+D50-H50</f>
        <v>-251.87</v>
      </c>
      <c r="M50" s="1"/>
      <c r="N50" s="5">
        <f t="shared" ref="N50:N59" si="32">IF(H50=0,0,L50/H50)</f>
        <v>-0.78709375000000004</v>
      </c>
      <c r="O50" s="13"/>
      <c r="P50" s="1">
        <f>SUM(OSRRefP22_2x_0)</f>
        <v>441.15</v>
      </c>
      <c r="Q50" s="1"/>
      <c r="R50" s="5">
        <f t="shared" ref="R50:R59" si="33">IF(P$12=0,0,P50/P$12)</f>
        <v>9.6611996956508565E-4</v>
      </c>
      <c r="S50" s="1"/>
      <c r="T50" s="1">
        <f>SUM(OSRRefT22_2x_0)</f>
        <v>5879</v>
      </c>
      <c r="U50" s="1"/>
      <c r="V50" s="5">
        <f t="shared" ref="V50:V59" si="34">IF(T$12=0,0,T50/T$12)</f>
        <v>2.8035288507391513E-2</v>
      </c>
      <c r="W50" s="1"/>
      <c r="X50" s="1">
        <f t="shared" ref="X50:X59" si="35">+P50-T50</f>
        <v>-5437.85</v>
      </c>
      <c r="Y50" s="1"/>
      <c r="Z50" s="5">
        <f t="shared" ref="Z50:Z59" si="36">IF(T50=0,0,X50/T50)</f>
        <v>-0.9249617281850655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7">
        <v>68.13</v>
      </c>
      <c r="E51" s="2"/>
      <c r="F51" s="6">
        <f t="shared" si="29"/>
        <v>9.3217149164267815E-4</v>
      </c>
      <c r="G51" s="2"/>
      <c r="H51" s="7">
        <v>320</v>
      </c>
      <c r="I51" s="2"/>
      <c r="J51" s="6">
        <f t="shared" si="30"/>
        <v>2.0713314777655513E-2</v>
      </c>
      <c r="K51" s="2"/>
      <c r="L51" s="7">
        <f t="shared" si="31"/>
        <v>-251.87</v>
      </c>
      <c r="M51" s="2"/>
      <c r="N51" s="6">
        <f t="shared" si="32"/>
        <v>-0.78709375000000004</v>
      </c>
      <c r="O51" s="11"/>
      <c r="P51" s="7">
        <v>441.15</v>
      </c>
      <c r="Q51" s="2"/>
      <c r="R51" s="6">
        <f t="shared" si="33"/>
        <v>9.6611996956508565E-4</v>
      </c>
      <c r="S51" s="2"/>
      <c r="T51" s="7">
        <v>5879</v>
      </c>
      <c r="U51" s="2"/>
      <c r="V51" s="6">
        <f t="shared" si="34"/>
        <v>2.8035288507391513E-2</v>
      </c>
      <c r="W51" s="2"/>
      <c r="X51" s="7">
        <f t="shared" si="35"/>
        <v>-5437.85</v>
      </c>
      <c r="Y51" s="2"/>
      <c r="Z51" s="6">
        <f t="shared" si="36"/>
        <v>-0.9249617281850655</v>
      </c>
    </row>
    <row r="52" spans="1:26" s="25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0.57999999999999996</v>
      </c>
      <c r="E52" s="1"/>
      <c r="F52" s="5">
        <f t="shared" si="29"/>
        <v>7.9357032900741721E-6</v>
      </c>
      <c r="G52" s="1"/>
      <c r="H52" s="1">
        <f>SUM(OSRRefH22_3x_0)</f>
        <v>5</v>
      </c>
      <c r="I52" s="1"/>
      <c r="J52" s="5">
        <f t="shared" si="30"/>
        <v>3.2364554340086739E-4</v>
      </c>
      <c r="K52" s="1"/>
      <c r="L52" s="1">
        <f t="shared" si="31"/>
        <v>-4.42</v>
      </c>
      <c r="M52" s="1"/>
      <c r="N52" s="5">
        <f t="shared" si="32"/>
        <v>-0.88400000000000001</v>
      </c>
      <c r="O52" s="13"/>
      <c r="P52" s="1">
        <f>SUM(OSRRefP22_3x_0)</f>
        <v>8.98</v>
      </c>
      <c r="Q52" s="1"/>
      <c r="R52" s="5">
        <f t="shared" si="33"/>
        <v>1.9666229914302323E-5</v>
      </c>
      <c r="S52" s="1"/>
      <c r="T52" s="1">
        <f>SUM(OSRRefT22_3x_0)</f>
        <v>80</v>
      </c>
      <c r="U52" s="1"/>
      <c r="V52" s="5">
        <f t="shared" si="34"/>
        <v>3.8149737720553169E-4</v>
      </c>
      <c r="W52" s="1"/>
      <c r="X52" s="1">
        <f t="shared" si="35"/>
        <v>-71.02</v>
      </c>
      <c r="Y52" s="1"/>
      <c r="Z52" s="5">
        <f t="shared" si="36"/>
        <v>-0.88774999999999993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7">
        <v>0.57999999999999996</v>
      </c>
      <c r="E53" s="2"/>
      <c r="F53" s="6">
        <f t="shared" si="29"/>
        <v>7.9357032900741721E-6</v>
      </c>
      <c r="G53" s="2"/>
      <c r="H53" s="7">
        <v>5</v>
      </c>
      <c r="I53" s="2"/>
      <c r="J53" s="6">
        <f t="shared" si="30"/>
        <v>3.2364554340086739E-4</v>
      </c>
      <c r="K53" s="2"/>
      <c r="L53" s="7">
        <f t="shared" si="31"/>
        <v>-4.42</v>
      </c>
      <c r="M53" s="2"/>
      <c r="N53" s="6">
        <f t="shared" si="32"/>
        <v>-0.88400000000000001</v>
      </c>
      <c r="O53" s="11"/>
      <c r="P53" s="7">
        <v>8.98</v>
      </c>
      <c r="Q53" s="2"/>
      <c r="R53" s="6">
        <f t="shared" si="33"/>
        <v>1.9666229914302323E-5</v>
      </c>
      <c r="S53" s="2"/>
      <c r="T53" s="7">
        <v>80</v>
      </c>
      <c r="U53" s="2"/>
      <c r="V53" s="6">
        <f t="shared" si="34"/>
        <v>3.8149737720553169E-4</v>
      </c>
      <c r="W53" s="2"/>
      <c r="X53" s="7">
        <f t="shared" si="35"/>
        <v>-71.02</v>
      </c>
      <c r="Y53" s="2"/>
      <c r="Z53" s="6">
        <f t="shared" si="36"/>
        <v>-0.88774999999999993</v>
      </c>
    </row>
    <row r="54" spans="1:26" s="25" customFormat="1" outlineLevel="1" collapsed="1" x14ac:dyDescent="0.25">
      <c r="A54" s="27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965.2</v>
      </c>
      <c r="E54" s="1"/>
      <c r="F54" s="5">
        <f t="shared" si="29"/>
        <v>1.3206104854447571E-2</v>
      </c>
      <c r="G54" s="1"/>
      <c r="H54" s="1">
        <f>SUM(OSRRefH22_4x_0)</f>
        <v>1020</v>
      </c>
      <c r="I54" s="1"/>
      <c r="J54" s="5">
        <f t="shared" si="30"/>
        <v>6.6023690853776948E-2</v>
      </c>
      <c r="K54" s="1"/>
      <c r="L54" s="1">
        <f t="shared" si="31"/>
        <v>-54.799999999999955</v>
      </c>
      <c r="M54" s="1"/>
      <c r="N54" s="5">
        <f t="shared" si="32"/>
        <v>-5.3725490196078383E-2</v>
      </c>
      <c r="O54" s="13"/>
      <c r="P54" s="1">
        <f>SUM(OSRRefP22_4x_0)</f>
        <v>6323.05</v>
      </c>
      <c r="Q54" s="1"/>
      <c r="R54" s="5">
        <f t="shared" si="33"/>
        <v>1.3847500563433108E-2</v>
      </c>
      <c r="S54" s="1"/>
      <c r="T54" s="1">
        <f>SUM(OSRRefT22_4x_0)</f>
        <v>26383</v>
      </c>
      <c r="U54" s="1"/>
      <c r="V54" s="5">
        <f t="shared" si="34"/>
        <v>0.12581306628516928</v>
      </c>
      <c r="W54" s="1"/>
      <c r="X54" s="1">
        <f t="shared" si="35"/>
        <v>-20059.95</v>
      </c>
      <c r="Y54" s="1"/>
      <c r="Z54" s="5">
        <f t="shared" si="36"/>
        <v>-0.76033620134177315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7">
        <v>965.2</v>
      </c>
      <c r="E55" s="2"/>
      <c r="F55" s="6">
        <f t="shared" si="29"/>
        <v>1.3206104854447571E-2</v>
      </c>
      <c r="G55" s="2"/>
      <c r="H55" s="7">
        <v>1020</v>
      </c>
      <c r="I55" s="2"/>
      <c r="J55" s="6">
        <f t="shared" si="30"/>
        <v>6.6023690853776948E-2</v>
      </c>
      <c r="K55" s="2"/>
      <c r="L55" s="7">
        <f t="shared" si="31"/>
        <v>-54.799999999999955</v>
      </c>
      <c r="M55" s="2"/>
      <c r="N55" s="6">
        <f t="shared" si="32"/>
        <v>-5.3725490196078383E-2</v>
      </c>
      <c r="O55" s="11"/>
      <c r="P55" s="7">
        <v>6323.05</v>
      </c>
      <c r="Q55" s="2"/>
      <c r="R55" s="6">
        <f t="shared" si="33"/>
        <v>1.3847500563433108E-2</v>
      </c>
      <c r="S55" s="2"/>
      <c r="T55" s="7">
        <v>26383</v>
      </c>
      <c r="U55" s="2"/>
      <c r="V55" s="6">
        <f t="shared" si="34"/>
        <v>0.12581306628516928</v>
      </c>
      <c r="W55" s="2"/>
      <c r="X55" s="7">
        <f t="shared" si="35"/>
        <v>-20059.95</v>
      </c>
      <c r="Y55" s="2"/>
      <c r="Z55" s="6">
        <f t="shared" si="36"/>
        <v>-0.76033620134177315</v>
      </c>
    </row>
    <row r="56" spans="1:26" s="25" customFormat="1" outlineLevel="1" collapsed="1" x14ac:dyDescent="0.25">
      <c r="A56" s="27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36720.76</v>
      </c>
      <c r="E56" s="1"/>
      <c r="F56" s="5">
        <f t="shared" si="29"/>
        <v>0.50242251025176565</v>
      </c>
      <c r="G56" s="1"/>
      <c r="H56" s="1">
        <f>SUM(OSRRefH22_5x_0)</f>
        <v>37717</v>
      </c>
      <c r="I56" s="1"/>
      <c r="J56" s="5">
        <f t="shared" si="30"/>
        <v>2.441387792090103</v>
      </c>
      <c r="K56" s="1"/>
      <c r="L56" s="1">
        <f t="shared" si="31"/>
        <v>-996.23999999999796</v>
      </c>
      <c r="M56" s="1"/>
      <c r="N56" s="5">
        <f t="shared" si="32"/>
        <v>-2.6413553570008165E-2</v>
      </c>
      <c r="O56" s="13"/>
      <c r="P56" s="1">
        <f>SUM(OSRRefP22_5x_0)</f>
        <v>370031.12</v>
      </c>
      <c r="Q56" s="1"/>
      <c r="R56" s="5">
        <f t="shared" si="33"/>
        <v>0.81036938545287218</v>
      </c>
      <c r="S56" s="1"/>
      <c r="T56" s="1">
        <f>SUM(OSRRefT22_5x_0)</f>
        <v>379774</v>
      </c>
      <c r="U56" s="1"/>
      <c r="V56" s="5">
        <f t="shared" si="34"/>
        <v>1.81103481163567</v>
      </c>
      <c r="W56" s="1"/>
      <c r="X56" s="1">
        <f t="shared" si="35"/>
        <v>-9742.8800000000047</v>
      </c>
      <c r="Y56" s="1"/>
      <c r="Z56" s="5">
        <f t="shared" si="36"/>
        <v>-2.5654415520809756E-2</v>
      </c>
    </row>
    <row r="57" spans="1:26" s="24" customFormat="1" hidden="1" outlineLevel="2" x14ac:dyDescent="0.25">
      <c r="A57" s="26"/>
      <c r="B57" s="11" t="str">
        <f>CONCATENATE("          ", "6321", " - ", "BUILDING DEPRECIATION")</f>
        <v xml:space="preserve">          6321 - BUILDING DEPRECIATION</v>
      </c>
      <c r="C57" s="11"/>
      <c r="D57" s="7">
        <v>23583.49</v>
      </c>
      <c r="E57" s="2"/>
      <c r="F57" s="6">
        <f t="shared" si="29"/>
        <v>0.32267513652488167</v>
      </c>
      <c r="G57" s="2"/>
      <c r="H57" s="7"/>
      <c r="I57" s="2"/>
      <c r="J57" s="6">
        <f t="shared" si="30"/>
        <v>0</v>
      </c>
      <c r="K57" s="2"/>
      <c r="L57" s="7">
        <f t="shared" si="31"/>
        <v>23583.49</v>
      </c>
      <c r="M57" s="2"/>
      <c r="N57" s="6">
        <f t="shared" si="32"/>
        <v>0</v>
      </c>
      <c r="O57" s="11"/>
      <c r="P57" s="7">
        <v>236619.09</v>
      </c>
      <c r="Q57" s="2"/>
      <c r="R57" s="6">
        <f t="shared" si="33"/>
        <v>0.5181965953288411</v>
      </c>
      <c r="S57" s="2"/>
      <c r="T57" s="7"/>
      <c r="U57" s="2"/>
      <c r="V57" s="6">
        <f t="shared" si="34"/>
        <v>0</v>
      </c>
      <c r="W57" s="2"/>
      <c r="X57" s="7">
        <f t="shared" si="35"/>
        <v>236619.09</v>
      </c>
      <c r="Y57" s="2"/>
      <c r="Z57" s="6">
        <f t="shared" si="36"/>
        <v>0</v>
      </c>
    </row>
    <row r="58" spans="1:26" s="24" customFormat="1" hidden="1" outlineLevel="2" x14ac:dyDescent="0.25">
      <c r="A58" s="26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13137.27</v>
      </c>
      <c r="E58" s="2"/>
      <c r="F58" s="6">
        <f t="shared" si="29"/>
        <v>0.17974737372688401</v>
      </c>
      <c r="G58" s="2"/>
      <c r="H58" s="7">
        <v>37167</v>
      </c>
      <c r="I58" s="2"/>
      <c r="J58" s="6">
        <f t="shared" si="30"/>
        <v>2.4057867823160075</v>
      </c>
      <c r="K58" s="2"/>
      <c r="L58" s="7">
        <f t="shared" si="31"/>
        <v>-24029.73</v>
      </c>
      <c r="M58" s="2"/>
      <c r="N58" s="6">
        <f t="shared" si="32"/>
        <v>-0.64653402211639355</v>
      </c>
      <c r="O58" s="11"/>
      <c r="P58" s="7">
        <v>133412.03</v>
      </c>
      <c r="Q58" s="2"/>
      <c r="R58" s="6">
        <f t="shared" si="33"/>
        <v>0.29217279012403108</v>
      </c>
      <c r="S58" s="2"/>
      <c r="T58" s="7">
        <v>374274</v>
      </c>
      <c r="U58" s="2"/>
      <c r="V58" s="6">
        <f t="shared" si="34"/>
        <v>1.7848068669527897</v>
      </c>
      <c r="W58" s="2"/>
      <c r="X58" s="7">
        <f t="shared" si="35"/>
        <v>-240861.97</v>
      </c>
      <c r="Y58" s="2"/>
      <c r="Z58" s="6">
        <f t="shared" si="36"/>
        <v>-0.64354448879697757</v>
      </c>
    </row>
    <row r="59" spans="1:26" s="24" customFormat="1" hidden="1" outlineLevel="2" x14ac:dyDescent="0.25">
      <c r="A59" s="26"/>
      <c r="B59" s="11" t="str">
        <f>CONCATENATE("          ", "6326", " - ", "VEHICLES DEPRECIATION EXPENSE")</f>
        <v xml:space="preserve">          6326 - VEHICLES DEPRECIATION EXPENSE</v>
      </c>
      <c r="C59" s="11"/>
      <c r="D59" s="7"/>
      <c r="E59" s="2"/>
      <c r="F59" s="6">
        <f t="shared" si="29"/>
        <v>0</v>
      </c>
      <c r="G59" s="2"/>
      <c r="H59" s="7">
        <v>550</v>
      </c>
      <c r="I59" s="2"/>
      <c r="J59" s="6">
        <f t="shared" si="30"/>
        <v>3.5601009774095409E-2</v>
      </c>
      <c r="K59" s="2"/>
      <c r="L59" s="7">
        <f t="shared" si="31"/>
        <v>-550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5500</v>
      </c>
      <c r="U59" s="2"/>
      <c r="V59" s="6">
        <f t="shared" si="34"/>
        <v>2.6227944682880304E-2</v>
      </c>
      <c r="W59" s="2"/>
      <c r="X59" s="7">
        <f t="shared" si="35"/>
        <v>-5500</v>
      </c>
      <c r="Y59" s="2"/>
      <c r="Z59" s="6">
        <f t="shared" si="36"/>
        <v>-1</v>
      </c>
    </row>
    <row r="60" spans="1:26" s="25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8" si="37">IF(D$12=0,0,D60/D$12)</f>
        <v>0</v>
      </c>
      <c r="G60" s="1"/>
      <c r="H60" s="1">
        <f>SUM(OSRRefH22_6x_0)</f>
        <v>0</v>
      </c>
      <c r="I60" s="1"/>
      <c r="J60" s="5">
        <f t="shared" ref="J60:J78" si="38">IF(H$12=0,0,H60/H$12)</f>
        <v>0</v>
      </c>
      <c r="K60" s="1"/>
      <c r="L60" s="1">
        <f t="shared" ref="L60:L78" si="39">+D60-H60</f>
        <v>0</v>
      </c>
      <c r="M60" s="1"/>
      <c r="N60" s="5">
        <f t="shared" ref="N60:N78" si="40">IF(H60=0,0,L60/H60)</f>
        <v>0</v>
      </c>
      <c r="O60" s="13"/>
      <c r="P60" s="1">
        <f>SUM(OSRRefP22_6x_0)</f>
        <v>10</v>
      </c>
      <c r="Q60" s="1"/>
      <c r="R60" s="5">
        <f t="shared" ref="R60:R78" si="41">IF(P$12=0,0,P60/P$12)</f>
        <v>2.1900033312140671E-5</v>
      </c>
      <c r="S60" s="1"/>
      <c r="T60" s="1">
        <f>SUM(OSRRefT22_6x_0)</f>
        <v>100</v>
      </c>
      <c r="U60" s="1"/>
      <c r="V60" s="5">
        <f t="shared" ref="V60:V78" si="42">IF(T$12=0,0,T60/T$12)</f>
        <v>4.7687172150691462E-4</v>
      </c>
      <c r="W60" s="1"/>
      <c r="X60" s="1">
        <f t="shared" ref="X60:X78" si="43">+P60-T60</f>
        <v>-90</v>
      </c>
      <c r="Y60" s="1"/>
      <c r="Z60" s="5">
        <f t="shared" ref="Z60:Z78" si="44">IF(T60=0,0,X60/T60)</f>
        <v>-0.9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>
        <v>10</v>
      </c>
      <c r="Q61" s="2"/>
      <c r="R61" s="6">
        <f t="shared" si="41"/>
        <v>2.1900033312140671E-5</v>
      </c>
      <c r="S61" s="2"/>
      <c r="T61" s="7">
        <v>100</v>
      </c>
      <c r="U61" s="2"/>
      <c r="V61" s="6">
        <f t="shared" si="42"/>
        <v>4.7687172150691462E-4</v>
      </c>
      <c r="W61" s="2"/>
      <c r="X61" s="7">
        <f t="shared" si="43"/>
        <v>-90</v>
      </c>
      <c r="Y61" s="2"/>
      <c r="Z61" s="6">
        <f t="shared" si="44"/>
        <v>-0.9</v>
      </c>
    </row>
    <row r="62" spans="1:26" s="25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567.59</v>
      </c>
      <c r="E62" s="1"/>
      <c r="F62" s="5">
        <f t="shared" si="37"/>
        <v>7.7659066041606897E-3</v>
      </c>
      <c r="G62" s="1"/>
      <c r="H62" s="1">
        <f>SUM(OSRRefH22_7x_0)</f>
        <v>354.33333333333297</v>
      </c>
      <c r="I62" s="1"/>
      <c r="J62" s="5">
        <f t="shared" si="38"/>
        <v>2.2935680842341443E-2</v>
      </c>
      <c r="K62" s="1"/>
      <c r="L62" s="1">
        <f t="shared" si="39"/>
        <v>213.25666666666706</v>
      </c>
      <c r="M62" s="1"/>
      <c r="N62" s="5">
        <f t="shared" si="40"/>
        <v>0.60185324553151631</v>
      </c>
      <c r="O62" s="13"/>
      <c r="P62" s="1">
        <f>SUM(OSRRefP22_7x_0)</f>
        <v>5451.82</v>
      </c>
      <c r="Q62" s="1"/>
      <c r="R62" s="5">
        <f t="shared" si="41"/>
        <v>1.1939503961179475E-2</v>
      </c>
      <c r="S62" s="1"/>
      <c r="T62" s="1">
        <f>SUM(OSRRefT22_7x_0)</f>
        <v>3287.3333333333298</v>
      </c>
      <c r="U62" s="1"/>
      <c r="V62" s="5">
        <f t="shared" si="42"/>
        <v>1.5676363058337292E-2</v>
      </c>
      <c r="W62" s="1"/>
      <c r="X62" s="1">
        <f t="shared" si="43"/>
        <v>2164.4866666666699</v>
      </c>
      <c r="Y62" s="1"/>
      <c r="Z62" s="5">
        <f t="shared" si="44"/>
        <v>0.65843236665990834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7">
        <v>567.59</v>
      </c>
      <c r="E63" s="2"/>
      <c r="F63" s="6">
        <f t="shared" si="37"/>
        <v>7.7659066041606897E-3</v>
      </c>
      <c r="G63" s="2"/>
      <c r="H63" s="7">
        <v>354.33333333333297</v>
      </c>
      <c r="I63" s="2"/>
      <c r="J63" s="6">
        <f t="shared" si="38"/>
        <v>2.2935680842341443E-2</v>
      </c>
      <c r="K63" s="2"/>
      <c r="L63" s="7">
        <f t="shared" si="39"/>
        <v>213.25666666666706</v>
      </c>
      <c r="M63" s="2"/>
      <c r="N63" s="6">
        <f t="shared" si="40"/>
        <v>0.60185324553151631</v>
      </c>
      <c r="O63" s="11"/>
      <c r="P63" s="7">
        <v>5451.82</v>
      </c>
      <c r="Q63" s="2"/>
      <c r="R63" s="6">
        <f t="shared" si="41"/>
        <v>1.1939503961179475E-2</v>
      </c>
      <c r="S63" s="2"/>
      <c r="T63" s="7">
        <v>3287.3333333333298</v>
      </c>
      <c r="U63" s="2"/>
      <c r="V63" s="6">
        <f t="shared" si="42"/>
        <v>1.5676363058337292E-2</v>
      </c>
      <c r="W63" s="2"/>
      <c r="X63" s="7">
        <f t="shared" si="43"/>
        <v>2164.4866666666699</v>
      </c>
      <c r="Y63" s="2"/>
      <c r="Z63" s="6">
        <f t="shared" si="44"/>
        <v>0.65843236665990834</v>
      </c>
    </row>
    <row r="64" spans="1:26" s="25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2.96</v>
      </c>
      <c r="E64" s="1"/>
      <c r="F64" s="5">
        <f t="shared" si="37"/>
        <v>4.0499451273481982E-5</v>
      </c>
      <c r="G64" s="1"/>
      <c r="H64" s="1">
        <f>SUM(OSRRefH22_8x_0)</f>
        <v>0</v>
      </c>
      <c r="I64" s="1"/>
      <c r="J64" s="5">
        <f t="shared" si="38"/>
        <v>0</v>
      </c>
      <c r="K64" s="1"/>
      <c r="L64" s="1">
        <f t="shared" si="39"/>
        <v>2.96</v>
      </c>
      <c r="M64" s="1"/>
      <c r="N64" s="5">
        <f t="shared" si="40"/>
        <v>0</v>
      </c>
      <c r="O64" s="13"/>
      <c r="P64" s="1">
        <f>SUM(OSRRefP22_8x_0)</f>
        <v>-2.4500000000000002</v>
      </c>
      <c r="Q64" s="1"/>
      <c r="R64" s="5">
        <f t="shared" si="41"/>
        <v>-5.3655081614744646E-6</v>
      </c>
      <c r="S64" s="1"/>
      <c r="T64" s="1">
        <f>SUM(OSRRefT22_8x_0)</f>
        <v>0</v>
      </c>
      <c r="U64" s="1"/>
      <c r="V64" s="5">
        <f t="shared" si="42"/>
        <v>0</v>
      </c>
      <c r="W64" s="1"/>
      <c r="X64" s="1">
        <f t="shared" si="43"/>
        <v>-2.4500000000000002</v>
      </c>
      <c r="Y64" s="1"/>
      <c r="Z64" s="5">
        <f t="shared" si="44"/>
        <v>0</v>
      </c>
    </row>
    <row r="65" spans="1:26" s="24" customFormat="1" hidden="1" outlineLevel="2" x14ac:dyDescent="0.25">
      <c r="A65" s="26"/>
      <c r="B65" s="11" t="str">
        <f>CONCATENATE("          ", "6307", " - ", "POSTAGE")</f>
        <v xml:space="preserve">          6307 - POSTAGE</v>
      </c>
      <c r="C65" s="11"/>
      <c r="D65" s="7">
        <v>2.96</v>
      </c>
      <c r="E65" s="2"/>
      <c r="F65" s="6">
        <f t="shared" si="37"/>
        <v>4.0499451273481982E-5</v>
      </c>
      <c r="G65" s="2"/>
      <c r="H65" s="7"/>
      <c r="I65" s="2"/>
      <c r="J65" s="6">
        <f t="shared" si="38"/>
        <v>0</v>
      </c>
      <c r="K65" s="2"/>
      <c r="L65" s="7">
        <f t="shared" si="39"/>
        <v>2.96</v>
      </c>
      <c r="M65" s="2"/>
      <c r="N65" s="6">
        <f t="shared" si="40"/>
        <v>0</v>
      </c>
      <c r="O65" s="11"/>
      <c r="P65" s="7">
        <v>-2.4500000000000002</v>
      </c>
      <c r="Q65" s="2"/>
      <c r="R65" s="6">
        <f t="shared" si="41"/>
        <v>-5.3655081614744646E-6</v>
      </c>
      <c r="S65" s="2"/>
      <c r="T65" s="7"/>
      <c r="U65" s="2"/>
      <c r="V65" s="6">
        <f t="shared" si="42"/>
        <v>0</v>
      </c>
      <c r="W65" s="2"/>
      <c r="X65" s="7">
        <f t="shared" si="43"/>
        <v>-2.4500000000000002</v>
      </c>
      <c r="Y65" s="2"/>
      <c r="Z65" s="6">
        <f t="shared" si="44"/>
        <v>0</v>
      </c>
    </row>
    <row r="66" spans="1:26" s="25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205</v>
      </c>
      <c r="E66" s="1"/>
      <c r="F66" s="5">
        <f t="shared" si="37"/>
        <v>2.8048606456296645E-3</v>
      </c>
      <c r="G66" s="1"/>
      <c r="H66" s="1">
        <f>SUM(OSRRefH22_9x_0)</f>
        <v>0</v>
      </c>
      <c r="I66" s="1"/>
      <c r="J66" s="5">
        <f t="shared" si="38"/>
        <v>0</v>
      </c>
      <c r="K66" s="1"/>
      <c r="L66" s="1">
        <f t="shared" si="39"/>
        <v>205</v>
      </c>
      <c r="M66" s="1"/>
      <c r="N66" s="5">
        <f t="shared" si="40"/>
        <v>0</v>
      </c>
      <c r="O66" s="13"/>
      <c r="P66" s="1">
        <f>SUM(OSRRefP22_9x_0)</f>
        <v>7630.48</v>
      </c>
      <c r="Q66" s="1"/>
      <c r="R66" s="5">
        <f t="shared" si="41"/>
        <v>1.6710776618762312E-2</v>
      </c>
      <c r="S66" s="1"/>
      <c r="T66" s="1">
        <f>SUM(OSRRefT22_9x_0)</f>
        <v>6610</v>
      </c>
      <c r="U66" s="1"/>
      <c r="V66" s="5">
        <f t="shared" si="42"/>
        <v>3.152122079160706E-2</v>
      </c>
      <c r="W66" s="1"/>
      <c r="X66" s="1">
        <f t="shared" si="43"/>
        <v>1020.4799999999996</v>
      </c>
      <c r="Y66" s="1"/>
      <c r="Z66" s="5">
        <f t="shared" si="44"/>
        <v>0.15438426626323745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7">
        <v>205</v>
      </c>
      <c r="E67" s="2"/>
      <c r="F67" s="6">
        <f t="shared" si="37"/>
        <v>2.8048606456296645E-3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205</v>
      </c>
      <c r="M67" s="2"/>
      <c r="N67" s="6">
        <f t="shared" si="40"/>
        <v>0</v>
      </c>
      <c r="O67" s="11"/>
      <c r="P67" s="7">
        <v>7630.48</v>
      </c>
      <c r="Q67" s="2"/>
      <c r="R67" s="6">
        <f t="shared" si="41"/>
        <v>1.6710776618762312E-2</v>
      </c>
      <c r="S67" s="2"/>
      <c r="T67" s="7">
        <v>6610</v>
      </c>
      <c r="U67" s="2"/>
      <c r="V67" s="6">
        <f t="shared" si="42"/>
        <v>3.152122079160706E-2</v>
      </c>
      <c r="W67" s="2"/>
      <c r="X67" s="7">
        <f t="shared" si="43"/>
        <v>1020.4799999999996</v>
      </c>
      <c r="Y67" s="2"/>
      <c r="Z67" s="6">
        <f t="shared" si="44"/>
        <v>0.15438426626323745</v>
      </c>
    </row>
    <row r="68" spans="1:26" s="25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4240.13</v>
      </c>
      <c r="E68" s="1"/>
      <c r="F68" s="5">
        <f t="shared" si="37"/>
        <v>5.8014506191969316E-2</v>
      </c>
      <c r="G68" s="1"/>
      <c r="H68" s="1">
        <f>SUM(OSRRefH22_10x_0)</f>
        <v>4565</v>
      </c>
      <c r="I68" s="1"/>
      <c r="J68" s="5">
        <f t="shared" si="38"/>
        <v>0.29548838112499193</v>
      </c>
      <c r="K68" s="1"/>
      <c r="L68" s="1">
        <f t="shared" si="39"/>
        <v>-324.86999999999989</v>
      </c>
      <c r="M68" s="1"/>
      <c r="N68" s="5">
        <f t="shared" si="40"/>
        <v>-7.1165388828039411E-2</v>
      </c>
      <c r="O68" s="13"/>
      <c r="P68" s="1">
        <f>SUM(OSRRefP22_10x_0)</f>
        <v>48513.3</v>
      </c>
      <c r="Q68" s="1"/>
      <c r="R68" s="5">
        <f t="shared" si="41"/>
        <v>0.10624428860818741</v>
      </c>
      <c r="S68" s="1"/>
      <c r="T68" s="1">
        <f>SUM(OSRRefT22_10x_0)</f>
        <v>45650</v>
      </c>
      <c r="U68" s="1"/>
      <c r="V68" s="5">
        <f t="shared" si="42"/>
        <v>0.21769194086790652</v>
      </c>
      <c r="W68" s="1"/>
      <c r="X68" s="1">
        <f t="shared" si="43"/>
        <v>2863.3000000000029</v>
      </c>
      <c r="Y68" s="1"/>
      <c r="Z68" s="5">
        <f t="shared" si="44"/>
        <v>6.2722891566265121E-2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7">
        <v>4240.13</v>
      </c>
      <c r="E69" s="2"/>
      <c r="F69" s="6">
        <f t="shared" si="37"/>
        <v>5.8014506191969316E-2</v>
      </c>
      <c r="G69" s="2"/>
      <c r="H69" s="7">
        <v>4565</v>
      </c>
      <c r="I69" s="2"/>
      <c r="J69" s="6">
        <f t="shared" si="38"/>
        <v>0.29548838112499193</v>
      </c>
      <c r="K69" s="2"/>
      <c r="L69" s="7">
        <f t="shared" si="39"/>
        <v>-324.86999999999989</v>
      </c>
      <c r="M69" s="2"/>
      <c r="N69" s="6">
        <f t="shared" si="40"/>
        <v>-7.1165388828039411E-2</v>
      </c>
      <c r="O69" s="11"/>
      <c r="P69" s="7">
        <v>48513.3</v>
      </c>
      <c r="Q69" s="2"/>
      <c r="R69" s="6">
        <f t="shared" si="41"/>
        <v>0.10624428860818741</v>
      </c>
      <c r="S69" s="2"/>
      <c r="T69" s="7">
        <v>45650</v>
      </c>
      <c r="U69" s="2"/>
      <c r="V69" s="6">
        <f t="shared" si="42"/>
        <v>0.21769194086790652</v>
      </c>
      <c r="W69" s="2"/>
      <c r="X69" s="7">
        <f t="shared" si="43"/>
        <v>2863.3000000000029</v>
      </c>
      <c r="Y69" s="2"/>
      <c r="Z69" s="6">
        <f t="shared" si="44"/>
        <v>6.2722891566265121E-2</v>
      </c>
    </row>
    <row r="70" spans="1:26" s="25" customFormat="1" outlineLevel="1" collapsed="1" x14ac:dyDescent="0.25">
      <c r="A70" s="27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5967</v>
      </c>
      <c r="E70" s="1"/>
      <c r="F70" s="5">
        <f t="shared" si="37"/>
        <v>8.164196815840101E-2</v>
      </c>
      <c r="G70" s="1"/>
      <c r="H70" s="1">
        <f>SUM(OSRRefH22_11x_0)</f>
        <v>7510</v>
      </c>
      <c r="I70" s="1"/>
      <c r="J70" s="5">
        <f t="shared" si="38"/>
        <v>0.48611560618810279</v>
      </c>
      <c r="K70" s="1"/>
      <c r="L70" s="1">
        <f t="shared" si="39"/>
        <v>-1543</v>
      </c>
      <c r="M70" s="1"/>
      <c r="N70" s="5">
        <f t="shared" si="40"/>
        <v>-0.20545938748335552</v>
      </c>
      <c r="O70" s="13"/>
      <c r="P70" s="1">
        <f>SUM(OSRRefP22_11x_0)</f>
        <v>73070.149999999994</v>
      </c>
      <c r="Q70" s="1"/>
      <c r="R70" s="5">
        <f t="shared" si="41"/>
        <v>0.16002387191231154</v>
      </c>
      <c r="S70" s="1"/>
      <c r="T70" s="1">
        <f>SUM(OSRRefT22_11x_0)</f>
        <v>75100</v>
      </c>
      <c r="U70" s="1"/>
      <c r="V70" s="5">
        <f t="shared" si="42"/>
        <v>0.35813066285169287</v>
      </c>
      <c r="W70" s="1"/>
      <c r="X70" s="1">
        <f t="shared" si="43"/>
        <v>-2029.8500000000058</v>
      </c>
      <c r="Y70" s="1"/>
      <c r="Z70" s="5">
        <f t="shared" si="44"/>
        <v>-2.7028628495339626E-2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7">
        <v>5967</v>
      </c>
      <c r="E71" s="2"/>
      <c r="F71" s="6">
        <f t="shared" si="37"/>
        <v>8.164196815840101E-2</v>
      </c>
      <c r="G71" s="2"/>
      <c r="H71" s="7">
        <v>7510</v>
      </c>
      <c r="I71" s="2"/>
      <c r="J71" s="6">
        <f t="shared" si="38"/>
        <v>0.48611560618810279</v>
      </c>
      <c r="K71" s="2"/>
      <c r="L71" s="7">
        <f t="shared" si="39"/>
        <v>-1543</v>
      </c>
      <c r="M71" s="2"/>
      <c r="N71" s="6">
        <f t="shared" si="40"/>
        <v>-0.20545938748335552</v>
      </c>
      <c r="O71" s="11"/>
      <c r="P71" s="7">
        <v>73070.149999999994</v>
      </c>
      <c r="Q71" s="2"/>
      <c r="R71" s="6">
        <f t="shared" si="41"/>
        <v>0.16002387191231154</v>
      </c>
      <c r="S71" s="2"/>
      <c r="T71" s="7">
        <v>75100</v>
      </c>
      <c r="U71" s="2"/>
      <c r="V71" s="6">
        <f t="shared" si="42"/>
        <v>0.35813066285169287</v>
      </c>
      <c r="W71" s="2"/>
      <c r="X71" s="7">
        <f t="shared" si="43"/>
        <v>-2029.8500000000058</v>
      </c>
      <c r="Y71" s="2"/>
      <c r="Z71" s="6">
        <f t="shared" si="44"/>
        <v>-2.7028628495339626E-2</v>
      </c>
    </row>
    <row r="72" spans="1:26" s="25" customFormat="1" outlineLevel="1" collapsed="1" x14ac:dyDescent="0.25">
      <c r="A72" s="27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SUM(OSRRefD22_12x_0)</f>
        <v>1850</v>
      </c>
      <c r="E72" s="1"/>
      <c r="F72" s="5">
        <f t="shared" si="37"/>
        <v>2.531215704592624E-2</v>
      </c>
      <c r="G72" s="1"/>
      <c r="H72" s="1">
        <f>SUM(OSRRefH22_12x_0)</f>
        <v>1943</v>
      </c>
      <c r="I72" s="1"/>
      <c r="J72" s="5">
        <f t="shared" si="38"/>
        <v>0.12576865816557706</v>
      </c>
      <c r="K72" s="1"/>
      <c r="L72" s="1">
        <f t="shared" si="39"/>
        <v>-93</v>
      </c>
      <c r="M72" s="1"/>
      <c r="N72" s="5">
        <f t="shared" si="40"/>
        <v>-4.7864127637673698E-2</v>
      </c>
      <c r="O72" s="13"/>
      <c r="P72" s="1">
        <f>SUM(OSRRefP22_12x_0)</f>
        <v>12950</v>
      </c>
      <c r="Q72" s="1"/>
      <c r="R72" s="5">
        <f t="shared" si="41"/>
        <v>2.836054313922217E-2</v>
      </c>
      <c r="S72" s="1"/>
      <c r="T72" s="1">
        <f>SUM(OSRRefT22_12x_0)</f>
        <v>19430</v>
      </c>
      <c r="U72" s="1"/>
      <c r="V72" s="5">
        <f t="shared" si="42"/>
        <v>9.2656175488793513E-2</v>
      </c>
      <c r="W72" s="1"/>
      <c r="X72" s="1">
        <f t="shared" si="43"/>
        <v>-6480</v>
      </c>
      <c r="Y72" s="1"/>
      <c r="Z72" s="5">
        <f t="shared" si="44"/>
        <v>-0.33350488934637157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7">
        <v>1850</v>
      </c>
      <c r="E73" s="2"/>
      <c r="F73" s="6">
        <f t="shared" si="37"/>
        <v>2.531215704592624E-2</v>
      </c>
      <c r="G73" s="2"/>
      <c r="H73" s="7">
        <v>1943</v>
      </c>
      <c r="I73" s="2"/>
      <c r="J73" s="6">
        <f t="shared" si="38"/>
        <v>0.12576865816557706</v>
      </c>
      <c r="K73" s="2"/>
      <c r="L73" s="7">
        <f t="shared" si="39"/>
        <v>-93</v>
      </c>
      <c r="M73" s="2"/>
      <c r="N73" s="6">
        <f t="shared" si="40"/>
        <v>-4.7864127637673698E-2</v>
      </c>
      <c r="O73" s="11"/>
      <c r="P73" s="7">
        <v>12950</v>
      </c>
      <c r="Q73" s="2"/>
      <c r="R73" s="6">
        <f t="shared" si="41"/>
        <v>2.836054313922217E-2</v>
      </c>
      <c r="S73" s="2"/>
      <c r="T73" s="7">
        <v>19430</v>
      </c>
      <c r="U73" s="2"/>
      <c r="V73" s="6">
        <f t="shared" si="42"/>
        <v>9.2656175488793513E-2</v>
      </c>
      <c r="W73" s="2"/>
      <c r="X73" s="7">
        <f t="shared" si="43"/>
        <v>-6480</v>
      </c>
      <c r="Y73" s="2"/>
      <c r="Z73" s="6">
        <f t="shared" si="44"/>
        <v>-0.33350488934637157</v>
      </c>
    </row>
    <row r="74" spans="1:26" s="25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2052.63</v>
      </c>
      <c r="E74" s="1"/>
      <c r="F74" s="5">
        <f t="shared" si="37"/>
        <v>2.8084590766043017E-2</v>
      </c>
      <c r="G74" s="1"/>
      <c r="H74" s="1">
        <f>SUM(OSRRefH22_13x_0)</f>
        <v>1000</v>
      </c>
      <c r="I74" s="1"/>
      <c r="J74" s="5">
        <f t="shared" si="38"/>
        <v>6.4729108680173481E-2</v>
      </c>
      <c r="K74" s="1"/>
      <c r="L74" s="1">
        <f t="shared" si="39"/>
        <v>1052.6300000000001</v>
      </c>
      <c r="M74" s="1"/>
      <c r="N74" s="5">
        <f t="shared" si="40"/>
        <v>1.0526300000000002</v>
      </c>
      <c r="O74" s="13"/>
      <c r="P74" s="1">
        <f>SUM(OSRRefP22_13x_0)</f>
        <v>43906.66</v>
      </c>
      <c r="Q74" s="1"/>
      <c r="R74" s="5">
        <f t="shared" si="41"/>
        <v>9.6155731662483437E-2</v>
      </c>
      <c r="S74" s="1"/>
      <c r="T74" s="1">
        <f>SUM(OSRRefT22_13x_0)</f>
        <v>23063</v>
      </c>
      <c r="U74" s="1"/>
      <c r="V74" s="5">
        <f t="shared" si="42"/>
        <v>0.10998092513113972</v>
      </c>
      <c r="W74" s="1"/>
      <c r="X74" s="1">
        <f t="shared" si="43"/>
        <v>20843.660000000003</v>
      </c>
      <c r="Y74" s="1"/>
      <c r="Z74" s="5">
        <f t="shared" si="44"/>
        <v>0.90377054156007475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37"/>
        <v>0</v>
      </c>
      <c r="G75" s="2"/>
      <c r="H75" s="7"/>
      <c r="I75" s="2"/>
      <c r="J75" s="6">
        <f t="shared" si="38"/>
        <v>0</v>
      </c>
      <c r="K75" s="2"/>
      <c r="L75" s="7">
        <f t="shared" si="39"/>
        <v>0</v>
      </c>
      <c r="M75" s="2"/>
      <c r="N75" s="6">
        <f t="shared" si="40"/>
        <v>0</v>
      </c>
      <c r="O75" s="11"/>
      <c r="P75" s="7">
        <v>702.27</v>
      </c>
      <c r="Q75" s="2"/>
      <c r="R75" s="6">
        <f t="shared" si="41"/>
        <v>1.5379736394117028E-3</v>
      </c>
      <c r="S75" s="2"/>
      <c r="T75" s="7">
        <v>0</v>
      </c>
      <c r="U75" s="2"/>
      <c r="V75" s="6">
        <f t="shared" si="42"/>
        <v>0</v>
      </c>
      <c r="W75" s="2"/>
      <c r="X75" s="7">
        <f t="shared" si="43"/>
        <v>702.27</v>
      </c>
      <c r="Y75" s="2"/>
      <c r="Z75" s="6">
        <f t="shared" si="44"/>
        <v>0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37"/>
        <v>0</v>
      </c>
      <c r="G76" s="2"/>
      <c r="H76" s="7"/>
      <c r="I76" s="2"/>
      <c r="J76" s="6">
        <f t="shared" si="38"/>
        <v>0</v>
      </c>
      <c r="K76" s="2"/>
      <c r="L76" s="7">
        <f t="shared" si="39"/>
        <v>0</v>
      </c>
      <c r="M76" s="2"/>
      <c r="N76" s="6">
        <f t="shared" si="40"/>
        <v>0</v>
      </c>
      <c r="O76" s="11"/>
      <c r="P76" s="7">
        <v>100</v>
      </c>
      <c r="Q76" s="2"/>
      <c r="R76" s="6">
        <f t="shared" si="41"/>
        <v>2.1900033312140672E-4</v>
      </c>
      <c r="S76" s="2"/>
      <c r="T76" s="7">
        <v>0</v>
      </c>
      <c r="U76" s="2"/>
      <c r="V76" s="6">
        <f t="shared" si="42"/>
        <v>0</v>
      </c>
      <c r="W76" s="2"/>
      <c r="X76" s="7">
        <f t="shared" si="43"/>
        <v>100</v>
      </c>
      <c r="Y76" s="2"/>
      <c r="Z76" s="6">
        <f t="shared" si="44"/>
        <v>0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7"/>
      <c r="E77" s="2"/>
      <c r="F77" s="6">
        <f t="shared" si="37"/>
        <v>0</v>
      </c>
      <c r="G77" s="2"/>
      <c r="H77" s="7">
        <v>0</v>
      </c>
      <c r="I77" s="2"/>
      <c r="J77" s="6">
        <f t="shared" si="38"/>
        <v>0</v>
      </c>
      <c r="K77" s="2"/>
      <c r="L77" s="7">
        <f t="shared" si="39"/>
        <v>0</v>
      </c>
      <c r="M77" s="2"/>
      <c r="N77" s="6">
        <f t="shared" si="40"/>
        <v>0</v>
      </c>
      <c r="O77" s="11"/>
      <c r="P77" s="7">
        <v>18223.8</v>
      </c>
      <c r="Q77" s="2"/>
      <c r="R77" s="6">
        <f t="shared" si="41"/>
        <v>3.9910182707378915E-2</v>
      </c>
      <c r="S77" s="2"/>
      <c r="T77" s="7">
        <v>3769</v>
      </c>
      <c r="U77" s="2"/>
      <c r="V77" s="6">
        <f t="shared" si="42"/>
        <v>1.7973295183595611E-2</v>
      </c>
      <c r="W77" s="2"/>
      <c r="X77" s="7">
        <f t="shared" si="43"/>
        <v>14454.8</v>
      </c>
      <c r="Y77" s="2"/>
      <c r="Z77" s="6">
        <f t="shared" si="44"/>
        <v>3.8351817458211723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2052.63</v>
      </c>
      <c r="E78" s="2"/>
      <c r="F78" s="6">
        <f t="shared" si="37"/>
        <v>2.8084590766043017E-2</v>
      </c>
      <c r="G78" s="2"/>
      <c r="H78" s="7">
        <v>1000</v>
      </c>
      <c r="I78" s="2"/>
      <c r="J78" s="6">
        <f t="shared" si="38"/>
        <v>6.4729108680173481E-2</v>
      </c>
      <c r="K78" s="2"/>
      <c r="L78" s="7">
        <f t="shared" si="39"/>
        <v>1052.6300000000001</v>
      </c>
      <c r="M78" s="2"/>
      <c r="N78" s="6">
        <f t="shared" si="40"/>
        <v>1.0526300000000002</v>
      </c>
      <c r="O78" s="11"/>
      <c r="P78" s="7">
        <v>24880.59</v>
      </c>
      <c r="Q78" s="2"/>
      <c r="R78" s="6">
        <f t="shared" si="41"/>
        <v>5.4488574982571404E-2</v>
      </c>
      <c r="S78" s="2"/>
      <c r="T78" s="7">
        <v>19294</v>
      </c>
      <c r="U78" s="2"/>
      <c r="V78" s="6">
        <f t="shared" si="42"/>
        <v>9.2007629947544106E-2</v>
      </c>
      <c r="W78" s="2"/>
      <c r="X78" s="7">
        <f t="shared" si="43"/>
        <v>5586.59</v>
      </c>
      <c r="Y78" s="2"/>
      <c r="Z78" s="6">
        <f t="shared" si="44"/>
        <v>0.28955063750388721</v>
      </c>
    </row>
    <row r="79" spans="1:26" s="25" customFormat="1" outlineLevel="1" collapsed="1" x14ac:dyDescent="0.25">
      <c r="A79" s="27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SUM(OSRRefD22_14x_0)</f>
        <v>0</v>
      </c>
      <c r="E79" s="1"/>
      <c r="F79" s="5">
        <f t="shared" ref="F79:F81" si="45">IF(D$12=0,0,D79/D$12)</f>
        <v>0</v>
      </c>
      <c r="G79" s="1"/>
      <c r="H79" s="1">
        <f>SUM(OSRRefH22_14x_0)</f>
        <v>0</v>
      </c>
      <c r="I79" s="1"/>
      <c r="J79" s="5">
        <f t="shared" ref="J79:J81" si="46">IF(H$12=0,0,H79/H$12)</f>
        <v>0</v>
      </c>
      <c r="K79" s="1"/>
      <c r="L79" s="1">
        <f t="shared" ref="L79:L81" si="47">+D79-H79</f>
        <v>0</v>
      </c>
      <c r="M79" s="1"/>
      <c r="N79" s="5">
        <f t="shared" ref="N79:N81" si="48">IF(H79=0,0,L79/H79)</f>
        <v>0</v>
      </c>
      <c r="O79" s="13"/>
      <c r="P79" s="1">
        <f>SUM(OSRRefP22_14x_0)</f>
        <v>0</v>
      </c>
      <c r="Q79" s="1"/>
      <c r="R79" s="5">
        <f t="shared" ref="R79:R81" si="49">IF(P$12=0,0,P79/P$12)</f>
        <v>0</v>
      </c>
      <c r="S79" s="1"/>
      <c r="T79" s="1">
        <f>SUM(OSRRefT22_14x_0)</f>
        <v>0</v>
      </c>
      <c r="U79" s="1"/>
      <c r="V79" s="5">
        <f t="shared" ref="V79:V81" si="50">IF(T$12=0,0,T79/T$12)</f>
        <v>0</v>
      </c>
      <c r="W79" s="1"/>
      <c r="X79" s="1">
        <f t="shared" ref="X79:X81" si="51">+P79-T79</f>
        <v>0</v>
      </c>
      <c r="Y79" s="1"/>
      <c r="Z79" s="5">
        <f t="shared" ref="Z79:Z81" si="52">IF(T79=0,0,X79/T79)</f>
        <v>0</v>
      </c>
    </row>
    <row r="80" spans="1:26" s="24" customFormat="1" hidden="1" outlineLevel="2" x14ac:dyDescent="0.25">
      <c r="A80" s="26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45"/>
        <v>0</v>
      </c>
      <c r="G80" s="2"/>
      <c r="H80" s="7">
        <v>0</v>
      </c>
      <c r="I80" s="2"/>
      <c r="J80" s="6">
        <f t="shared" si="46"/>
        <v>0</v>
      </c>
      <c r="K80" s="2"/>
      <c r="L80" s="7">
        <f t="shared" si="47"/>
        <v>0</v>
      </c>
      <c r="M80" s="2"/>
      <c r="N80" s="6">
        <f t="shared" si="48"/>
        <v>0</v>
      </c>
      <c r="O80" s="11"/>
      <c r="P80" s="7"/>
      <c r="Q80" s="2"/>
      <c r="R80" s="6">
        <f t="shared" si="49"/>
        <v>0</v>
      </c>
      <c r="S80" s="2"/>
      <c r="T80" s="7">
        <v>0</v>
      </c>
      <c r="U80" s="2"/>
      <c r="V80" s="6">
        <f t="shared" si="50"/>
        <v>0</v>
      </c>
      <c r="W80" s="2"/>
      <c r="X80" s="7">
        <f t="shared" si="51"/>
        <v>0</v>
      </c>
      <c r="Y80" s="2"/>
      <c r="Z80" s="6">
        <f t="shared" si="52"/>
        <v>0</v>
      </c>
    </row>
    <row r="81" spans="1:26" s="24" customFormat="1" hidden="1" outlineLevel="2" x14ac:dyDescent="0.25">
      <c r="A81" s="26"/>
      <c r="B81" s="11" t="str">
        <f>CONCATENATE("          ", "6259", " - ", "ROYALTY &amp; COMMISSIONS")</f>
        <v xml:space="preserve">          6259 - ROYALTY &amp; COMMISSIONS</v>
      </c>
      <c r="C81" s="11"/>
      <c r="D81" s="7"/>
      <c r="E81" s="2"/>
      <c r="F81" s="6">
        <f t="shared" si="45"/>
        <v>0</v>
      </c>
      <c r="G81" s="2"/>
      <c r="H81" s="7">
        <v>0</v>
      </c>
      <c r="I81" s="2"/>
      <c r="J81" s="6">
        <f t="shared" si="46"/>
        <v>0</v>
      </c>
      <c r="K81" s="2"/>
      <c r="L81" s="7">
        <f t="shared" si="47"/>
        <v>0</v>
      </c>
      <c r="M81" s="2"/>
      <c r="N81" s="6">
        <f t="shared" si="48"/>
        <v>0</v>
      </c>
      <c r="O81" s="11"/>
      <c r="P81" s="7"/>
      <c r="Q81" s="2"/>
      <c r="R81" s="6">
        <f t="shared" si="49"/>
        <v>0</v>
      </c>
      <c r="S81" s="2"/>
      <c r="T81" s="7">
        <v>0</v>
      </c>
      <c r="U81" s="2"/>
      <c r="V81" s="6">
        <f t="shared" si="50"/>
        <v>0</v>
      </c>
      <c r="W81" s="2"/>
      <c r="X81" s="7">
        <f t="shared" si="51"/>
        <v>0</v>
      </c>
      <c r="Y81" s="2"/>
      <c r="Z81" s="6">
        <f t="shared" si="52"/>
        <v>0</v>
      </c>
    </row>
    <row r="82" spans="1:26" s="25" customFormat="1" outlineLevel="1" collapsed="1" x14ac:dyDescent="0.25">
      <c r="A82" s="27"/>
      <c r="B82" s="13" t="str">
        <f>CONCATENATE("     ","Services                                          ")</f>
        <v xml:space="preserve">     Services                                          </v>
      </c>
      <c r="C82" s="13"/>
      <c r="D82" s="1">
        <f>SUM(OSRRefD22_15x_0)</f>
        <v>10464.52</v>
      </c>
      <c r="E82" s="1"/>
      <c r="F82" s="5">
        <f t="shared" ref="F82:F87" si="53">IF(D$12=0,0,D82/D$12)</f>
        <v>0.14317814791904651</v>
      </c>
      <c r="G82" s="1"/>
      <c r="H82" s="1">
        <f>SUM(OSRRefH22_15x_0)</f>
        <v>6928</v>
      </c>
      <c r="I82" s="1"/>
      <c r="J82" s="5">
        <f t="shared" ref="J82:J87" si="54">IF(H$12=0,0,H82/H$12)</f>
        <v>0.44844326493624181</v>
      </c>
      <c r="K82" s="1"/>
      <c r="L82" s="1">
        <f t="shared" ref="L82:L87" si="55">+D82-H82</f>
        <v>3536.5200000000004</v>
      </c>
      <c r="M82" s="1"/>
      <c r="N82" s="5">
        <f t="shared" ref="N82:N87" si="56">IF(H82=0,0,L82/H82)</f>
        <v>0.51046766743648964</v>
      </c>
      <c r="O82" s="13"/>
      <c r="P82" s="1">
        <f>SUM(OSRRefP22_15x_0)</f>
        <v>54881.23</v>
      </c>
      <c r="Q82" s="1"/>
      <c r="R82" s="5">
        <f t="shared" ref="R82:R87" si="57">IF(P$12=0,0,P82/P$12)</f>
        <v>0.1201900765211254</v>
      </c>
      <c r="S82" s="1"/>
      <c r="T82" s="1">
        <f>SUM(OSRRefT22_15x_0)</f>
        <v>72820</v>
      </c>
      <c r="U82" s="1"/>
      <c r="V82" s="5">
        <f t="shared" ref="V82:V87" si="58">IF(T$12=0,0,T82/T$12)</f>
        <v>0.34725798760133525</v>
      </c>
      <c r="W82" s="1"/>
      <c r="X82" s="1">
        <f t="shared" ref="X82:X87" si="59">+P82-T82</f>
        <v>-17938.769999999997</v>
      </c>
      <c r="Y82" s="1"/>
      <c r="Z82" s="5">
        <f t="shared" ref="Z82:Z87" si="60">IF(T82=0,0,X82/T82)</f>
        <v>-0.24634399890140066</v>
      </c>
    </row>
    <row r="83" spans="1:26" s="24" customFormat="1" hidden="1" outlineLevel="2" x14ac:dyDescent="0.25">
      <c r="A83" s="26"/>
      <c r="B83" s="11" t="str">
        <f>CONCATENATE("          ", "6282", " - ", "JANITORIAL/EXTERMINATOR EXPENS")</f>
        <v xml:space="preserve">          6282 - JANITORIAL/EXTERMINATOR EXPENS</v>
      </c>
      <c r="C83" s="11"/>
      <c r="D83" s="7">
        <v>1710</v>
      </c>
      <c r="E83" s="2"/>
      <c r="F83" s="6">
        <f t="shared" si="53"/>
        <v>2.3396642458666957E-2</v>
      </c>
      <c r="G83" s="2"/>
      <c r="H83" s="7">
        <v>626</v>
      </c>
      <c r="I83" s="2"/>
      <c r="J83" s="6">
        <f t="shared" si="54"/>
        <v>4.0520422033788597E-2</v>
      </c>
      <c r="K83" s="2"/>
      <c r="L83" s="7">
        <f t="shared" si="55"/>
        <v>1084</v>
      </c>
      <c r="M83" s="2"/>
      <c r="N83" s="6">
        <f t="shared" si="56"/>
        <v>1.7316293929712461</v>
      </c>
      <c r="O83" s="11"/>
      <c r="P83" s="7">
        <v>10115.43</v>
      </c>
      <c r="Q83" s="2"/>
      <c r="R83" s="6">
        <f t="shared" si="57"/>
        <v>2.2152825396662711E-2</v>
      </c>
      <c r="S83" s="2"/>
      <c r="T83" s="7">
        <v>10175</v>
      </c>
      <c r="U83" s="2"/>
      <c r="V83" s="6">
        <f t="shared" si="58"/>
        <v>4.8521697663328561E-2</v>
      </c>
      <c r="W83" s="2"/>
      <c r="X83" s="7">
        <f t="shared" si="59"/>
        <v>-59.569999999999709</v>
      </c>
      <c r="Y83" s="2"/>
      <c r="Z83" s="6">
        <f t="shared" si="60"/>
        <v>-5.8545454545454257E-3</v>
      </c>
    </row>
    <row r="84" spans="1:26" s="24" customFormat="1" hidden="1" outlineLevel="2" x14ac:dyDescent="0.25">
      <c r="A84" s="26"/>
      <c r="B84" s="11" t="str">
        <f>CONCATENATE("          ", "6283", " - ", "PLANT SERVICE")</f>
        <v xml:space="preserve">          6283 - PLANT SERVICE</v>
      </c>
      <c r="C84" s="11"/>
      <c r="D84" s="7"/>
      <c r="E84" s="2"/>
      <c r="F84" s="6">
        <f t="shared" si="53"/>
        <v>0</v>
      </c>
      <c r="G84" s="2"/>
      <c r="H84" s="7">
        <v>0</v>
      </c>
      <c r="I84" s="2"/>
      <c r="J84" s="6">
        <f t="shared" si="54"/>
        <v>0</v>
      </c>
      <c r="K84" s="2"/>
      <c r="L84" s="7">
        <f t="shared" si="55"/>
        <v>0</v>
      </c>
      <c r="M84" s="2"/>
      <c r="N84" s="6">
        <f t="shared" si="56"/>
        <v>0</v>
      </c>
      <c r="O84" s="11"/>
      <c r="P84" s="7"/>
      <c r="Q84" s="2"/>
      <c r="R84" s="6">
        <f t="shared" si="57"/>
        <v>0</v>
      </c>
      <c r="S84" s="2"/>
      <c r="T84" s="7">
        <v>310</v>
      </c>
      <c r="U84" s="2"/>
      <c r="V84" s="6">
        <f t="shared" si="58"/>
        <v>1.4783023366714354E-3</v>
      </c>
      <c r="W84" s="2"/>
      <c r="X84" s="7">
        <f t="shared" si="59"/>
        <v>-310</v>
      </c>
      <c r="Y84" s="2"/>
      <c r="Z84" s="6">
        <f t="shared" si="60"/>
        <v>-1</v>
      </c>
    </row>
    <row r="85" spans="1:26" s="24" customFormat="1" hidden="1" outlineLevel="2" x14ac:dyDescent="0.25">
      <c r="A85" s="26"/>
      <c r="B85" s="11" t="str">
        <f>CONCATENATE("          ", "6284", " - ", "TRASH REMOVAL EXPENSE")</f>
        <v xml:space="preserve">          6284 - TRASH REMOVAL EXPENSE</v>
      </c>
      <c r="C85" s="11"/>
      <c r="D85" s="7">
        <v>5369</v>
      </c>
      <c r="E85" s="2"/>
      <c r="F85" s="6">
        <f t="shared" si="53"/>
        <v>7.3459984421393509E-2</v>
      </c>
      <c r="G85" s="2"/>
      <c r="H85" s="7">
        <v>3261</v>
      </c>
      <c r="I85" s="2"/>
      <c r="J85" s="6">
        <f t="shared" si="54"/>
        <v>0.21108162340604569</v>
      </c>
      <c r="K85" s="2"/>
      <c r="L85" s="7">
        <f t="shared" si="55"/>
        <v>2108</v>
      </c>
      <c r="M85" s="2"/>
      <c r="N85" s="6">
        <f t="shared" si="56"/>
        <v>0.64642747623428398</v>
      </c>
      <c r="O85" s="11"/>
      <c r="P85" s="7">
        <v>26012</v>
      </c>
      <c r="Q85" s="2"/>
      <c r="R85" s="6">
        <f t="shared" si="57"/>
        <v>5.6966366651540312E-2</v>
      </c>
      <c r="S85" s="2"/>
      <c r="T85" s="7">
        <v>30402</v>
      </c>
      <c r="U85" s="2"/>
      <c r="V85" s="6">
        <f t="shared" si="58"/>
        <v>0.14497854077253219</v>
      </c>
      <c r="W85" s="2"/>
      <c r="X85" s="7">
        <f t="shared" si="59"/>
        <v>-4390</v>
      </c>
      <c r="Y85" s="2"/>
      <c r="Z85" s="6">
        <f t="shared" si="60"/>
        <v>-0.14439839484244457</v>
      </c>
    </row>
    <row r="86" spans="1:26" s="24" customFormat="1" hidden="1" outlineLevel="2" x14ac:dyDescent="0.25">
      <c r="A86" s="26"/>
      <c r="B86" s="11" t="str">
        <f>CONCATENATE("          ", "6285", " - ", "JANITORIAL SERVICES")</f>
        <v xml:space="preserve">          6285 - JANITORIAL SERVICES</v>
      </c>
      <c r="C86" s="11"/>
      <c r="D86" s="7">
        <v>3385.52</v>
      </c>
      <c r="E86" s="2"/>
      <c r="F86" s="6">
        <f t="shared" si="53"/>
        <v>4.6321521038986055E-2</v>
      </c>
      <c r="G86" s="2"/>
      <c r="H86" s="7">
        <v>3041</v>
      </c>
      <c r="I86" s="2"/>
      <c r="J86" s="6">
        <f t="shared" si="54"/>
        <v>0.19684121949640754</v>
      </c>
      <c r="K86" s="2"/>
      <c r="L86" s="7">
        <f t="shared" si="55"/>
        <v>344.52</v>
      </c>
      <c r="M86" s="2"/>
      <c r="N86" s="6">
        <f t="shared" si="56"/>
        <v>0.1132916803682999</v>
      </c>
      <c r="O86" s="11"/>
      <c r="P86" s="7">
        <v>17849.09</v>
      </c>
      <c r="Q86" s="2"/>
      <c r="R86" s="6">
        <f t="shared" si="57"/>
        <v>3.9089566559139692E-2</v>
      </c>
      <c r="S86" s="2"/>
      <c r="T86" s="7">
        <v>31933</v>
      </c>
      <c r="U86" s="2"/>
      <c r="V86" s="6">
        <f t="shared" si="58"/>
        <v>0.15227944682880304</v>
      </c>
      <c r="W86" s="2"/>
      <c r="X86" s="7">
        <f t="shared" si="59"/>
        <v>-14083.91</v>
      </c>
      <c r="Y86" s="2"/>
      <c r="Z86" s="6">
        <f t="shared" si="60"/>
        <v>-0.44104562678107284</v>
      </c>
    </row>
    <row r="87" spans="1:26" s="24" customFormat="1" hidden="1" outlineLevel="2" x14ac:dyDescent="0.25">
      <c r="A87" s="26"/>
      <c r="B87" s="11" t="str">
        <f>CONCATENATE("          ", "6286", " - ", "LAUNDRY EXPENSE")</f>
        <v xml:space="preserve">          6286 - LAUNDRY EXPENSE</v>
      </c>
      <c r="C87" s="11"/>
      <c r="D87" s="7"/>
      <c r="E87" s="2"/>
      <c r="F87" s="6">
        <f t="shared" si="53"/>
        <v>0</v>
      </c>
      <c r="G87" s="2"/>
      <c r="H87" s="7">
        <v>0</v>
      </c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>
        <v>904.71</v>
      </c>
      <c r="Q87" s="2"/>
      <c r="R87" s="6">
        <f t="shared" si="57"/>
        <v>1.9813179137826787E-3</v>
      </c>
      <c r="S87" s="2"/>
      <c r="T87" s="7">
        <v>0</v>
      </c>
      <c r="U87" s="2"/>
      <c r="V87" s="6">
        <f t="shared" si="58"/>
        <v>0</v>
      </c>
      <c r="W87" s="2"/>
      <c r="X87" s="7">
        <f t="shared" si="59"/>
        <v>904.71</v>
      </c>
      <c r="Y87" s="2"/>
      <c r="Z87" s="6">
        <f t="shared" si="60"/>
        <v>0</v>
      </c>
    </row>
    <row r="88" spans="1:26" s="25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SUM(OSRRefD22_16x_0)</f>
        <v>0</v>
      </c>
      <c r="E88" s="1"/>
      <c r="F88" s="5">
        <f t="shared" ref="F88:F90" si="61">IF(D$12=0,0,D88/D$12)</f>
        <v>0</v>
      </c>
      <c r="G88" s="1"/>
      <c r="H88" s="1">
        <f>SUM(OSRRefH22_16x_0)</f>
        <v>200</v>
      </c>
      <c r="I88" s="1"/>
      <c r="J88" s="5">
        <f t="shared" ref="J88:J90" si="62">IF(H$12=0,0,H88/H$12)</f>
        <v>1.2945821736034695E-2</v>
      </c>
      <c r="K88" s="1"/>
      <c r="L88" s="1">
        <f t="shared" ref="L88:L90" si="63">+D88-H88</f>
        <v>-200</v>
      </c>
      <c r="M88" s="1"/>
      <c r="N88" s="5">
        <f t="shared" ref="N88:N90" si="64">IF(H88=0,0,L88/H88)</f>
        <v>-1</v>
      </c>
      <c r="O88" s="13"/>
      <c r="P88" s="1">
        <f>SUM(OSRRefP22_16x_0)</f>
        <v>916.08</v>
      </c>
      <c r="Q88" s="1"/>
      <c r="R88" s="5">
        <f t="shared" ref="R88:R90" si="65">IF(P$12=0,0,P88/P$12)</f>
        <v>2.0062182516585826E-3</v>
      </c>
      <c r="S88" s="1"/>
      <c r="T88" s="1">
        <f>SUM(OSRRefT22_16x_0)</f>
        <v>2881</v>
      </c>
      <c r="U88" s="1"/>
      <c r="V88" s="5">
        <f t="shared" ref="V88:V90" si="66">IF(T$12=0,0,T88/T$12)</f>
        <v>1.373867429661421E-2</v>
      </c>
      <c r="W88" s="1"/>
      <c r="X88" s="1">
        <f t="shared" ref="X88:X90" si="67">+P88-T88</f>
        <v>-1964.92</v>
      </c>
      <c r="Y88" s="1"/>
      <c r="Z88" s="5">
        <f t="shared" ref="Z88:Z90" si="68">IF(T88=0,0,X88/T88)</f>
        <v>-0.68202707393266226</v>
      </c>
    </row>
    <row r="89" spans="1:26" s="24" customFormat="1" hidden="1" outlineLevel="2" x14ac:dyDescent="0.25">
      <c r="A89" s="26"/>
      <c r="B89" s="11" t="str">
        <f>CONCATENATE("          ", "6258", " - ", "MEMBERSHIP DUES")</f>
        <v xml:space="preserve">          6258 - MEMBERSHIP DUES</v>
      </c>
      <c r="C89" s="11"/>
      <c r="D89" s="7"/>
      <c r="E89" s="2"/>
      <c r="F89" s="6">
        <f t="shared" si="61"/>
        <v>0</v>
      </c>
      <c r="G89" s="2"/>
      <c r="H89" s="7"/>
      <c r="I89" s="2"/>
      <c r="J89" s="6">
        <f t="shared" si="62"/>
        <v>0</v>
      </c>
      <c r="K89" s="2"/>
      <c r="L89" s="7">
        <f t="shared" si="63"/>
        <v>0</v>
      </c>
      <c r="M89" s="2"/>
      <c r="N89" s="6">
        <f t="shared" si="64"/>
        <v>0</v>
      </c>
      <c r="O89" s="11"/>
      <c r="P89" s="7"/>
      <c r="Q89" s="2"/>
      <c r="R89" s="6">
        <f t="shared" si="65"/>
        <v>0</v>
      </c>
      <c r="S89" s="2"/>
      <c r="T89" s="7">
        <v>900</v>
      </c>
      <c r="U89" s="2"/>
      <c r="V89" s="6">
        <f t="shared" si="66"/>
        <v>4.2918454935622317E-3</v>
      </c>
      <c r="W89" s="2"/>
      <c r="X89" s="7">
        <f t="shared" si="67"/>
        <v>-900</v>
      </c>
      <c r="Y89" s="2"/>
      <c r="Z89" s="6">
        <f t="shared" si="68"/>
        <v>-1</v>
      </c>
    </row>
    <row r="90" spans="1:26" s="24" customFormat="1" hidden="1" outlineLevel="2" x14ac:dyDescent="0.25">
      <c r="A90" s="26"/>
      <c r="B90" s="11" t="str">
        <f>CONCATENATE("          ", "6275", " - ", "SUBSCRIPTIONS")</f>
        <v xml:space="preserve">          6275 - SUBSCRIPTIONS</v>
      </c>
      <c r="C90" s="11"/>
      <c r="D90" s="7"/>
      <c r="E90" s="2"/>
      <c r="F90" s="6">
        <f t="shared" si="61"/>
        <v>0</v>
      </c>
      <c r="G90" s="2"/>
      <c r="H90" s="7">
        <v>200</v>
      </c>
      <c r="I90" s="2"/>
      <c r="J90" s="6">
        <f t="shared" si="62"/>
        <v>1.2945821736034695E-2</v>
      </c>
      <c r="K90" s="2"/>
      <c r="L90" s="7">
        <f t="shared" si="63"/>
        <v>-200</v>
      </c>
      <c r="M90" s="2"/>
      <c r="N90" s="6">
        <f t="shared" si="64"/>
        <v>-1</v>
      </c>
      <c r="O90" s="11"/>
      <c r="P90" s="7">
        <v>916.08</v>
      </c>
      <c r="Q90" s="2"/>
      <c r="R90" s="6">
        <f t="shared" si="65"/>
        <v>2.0062182516585826E-3</v>
      </c>
      <c r="S90" s="2"/>
      <c r="T90" s="7">
        <v>1981</v>
      </c>
      <c r="U90" s="2"/>
      <c r="V90" s="6">
        <f t="shared" si="66"/>
        <v>9.4468288030519782E-3</v>
      </c>
      <c r="W90" s="2"/>
      <c r="X90" s="7">
        <f t="shared" si="67"/>
        <v>-1064.92</v>
      </c>
      <c r="Y90" s="2"/>
      <c r="Z90" s="6">
        <f t="shared" si="68"/>
        <v>-0.5375668854114084</v>
      </c>
    </row>
    <row r="91" spans="1:26" s="25" customFormat="1" outlineLevel="1" collapsed="1" x14ac:dyDescent="0.25">
      <c r="A91" s="27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SUM(OSRRefD22_17x_0)</f>
        <v>627.34</v>
      </c>
      <c r="E91" s="1"/>
      <c r="F91" s="5">
        <f t="shared" ref="F91:F102" si="69">IF(D$12=0,0,D91/D$12)</f>
        <v>8.5834208655088482E-3</v>
      </c>
      <c r="G91" s="1"/>
      <c r="H91" s="1">
        <f>SUM(OSRRefH22_17x_0)</f>
        <v>1375</v>
      </c>
      <c r="I91" s="1"/>
      <c r="J91" s="5">
        <f t="shared" ref="J91:J102" si="70">IF(H$12=0,0,H91/H$12)</f>
        <v>8.9002524435238525E-2</v>
      </c>
      <c r="K91" s="1"/>
      <c r="L91" s="1">
        <f t="shared" ref="L91:L102" si="71">+D91-H91</f>
        <v>-747.66</v>
      </c>
      <c r="M91" s="1"/>
      <c r="N91" s="5">
        <f t="shared" ref="N91:N102" si="72">IF(H91=0,0,L91/H91)</f>
        <v>-0.54375272727272728</v>
      </c>
      <c r="O91" s="13"/>
      <c r="P91" s="1">
        <f>SUM(OSRRefP22_17x_0)</f>
        <v>-20624.599999999999</v>
      </c>
      <c r="Q91" s="1"/>
      <c r="R91" s="5">
        <f t="shared" ref="R91:R102" si="73">IF(P$12=0,0,P91/P$12)</f>
        <v>-4.5167942704957643E-2</v>
      </c>
      <c r="S91" s="1"/>
      <c r="T91" s="1">
        <f>SUM(OSRRefT22_17x_0)</f>
        <v>22525</v>
      </c>
      <c r="U91" s="1"/>
      <c r="V91" s="5">
        <f t="shared" ref="V91:V102" si="74">IF(T$12=0,0,T91/T$12)</f>
        <v>0.10741535526943252</v>
      </c>
      <c r="W91" s="1"/>
      <c r="X91" s="1">
        <f t="shared" ref="X91:X102" si="75">+P91-T91</f>
        <v>-43149.599999999999</v>
      </c>
      <c r="Y91" s="1"/>
      <c r="Z91" s="5">
        <f t="shared" ref="Z91:Z102" si="76">IF(T91=0,0,X91/T91)</f>
        <v>-1.9156315205327414</v>
      </c>
    </row>
    <row r="92" spans="1:26" s="24" customFormat="1" hidden="1" outlineLevel="2" x14ac:dyDescent="0.25">
      <c r="A92" s="26"/>
      <c r="B92" s="11" t="str">
        <f>CONCATENATE("          ", "6234", " - ", "EXPENDABLE SUPPLIES &amp; EQUIPMEN")</f>
        <v xml:space="preserve">          6234 - EXPENDABLE SUPPLIES &amp; EQUIPMEN</v>
      </c>
      <c r="C92" s="11"/>
      <c r="D92" s="7">
        <v>26.25</v>
      </c>
      <c r="E92" s="2"/>
      <c r="F92" s="6">
        <f t="shared" si="69"/>
        <v>3.5915898511111556E-4</v>
      </c>
      <c r="G92" s="2"/>
      <c r="H92" s="7"/>
      <c r="I92" s="2"/>
      <c r="J92" s="6">
        <f t="shared" si="70"/>
        <v>0</v>
      </c>
      <c r="K92" s="2"/>
      <c r="L92" s="7">
        <f t="shared" si="71"/>
        <v>26.25</v>
      </c>
      <c r="M92" s="2"/>
      <c r="N92" s="6">
        <f t="shared" si="72"/>
        <v>0</v>
      </c>
      <c r="O92" s="11"/>
      <c r="P92" s="7">
        <v>337.16</v>
      </c>
      <c r="Q92" s="2"/>
      <c r="R92" s="6">
        <f t="shared" si="73"/>
        <v>7.3838152315213498E-4</v>
      </c>
      <c r="S92" s="2"/>
      <c r="T92" s="7">
        <v>1076</v>
      </c>
      <c r="U92" s="2"/>
      <c r="V92" s="6">
        <f t="shared" si="74"/>
        <v>5.1311397234144011E-3</v>
      </c>
      <c r="W92" s="2"/>
      <c r="X92" s="7">
        <f t="shared" si="75"/>
        <v>-738.83999999999992</v>
      </c>
      <c r="Y92" s="2"/>
      <c r="Z92" s="6">
        <f t="shared" si="76"/>
        <v>-0.68665427509293675</v>
      </c>
    </row>
    <row r="93" spans="1:26" s="24" customFormat="1" hidden="1" outlineLevel="2" x14ac:dyDescent="0.25">
      <c r="A93" s="26"/>
      <c r="B93" s="11" t="str">
        <f>CONCATENATE("          ", "6235", " - ", "COVID-19 EXPENSES")</f>
        <v xml:space="preserve">          6235 - COVID-19 EXPENSES</v>
      </c>
      <c r="C93" s="11"/>
      <c r="D93" s="7">
        <v>65.45</v>
      </c>
      <c r="E93" s="2"/>
      <c r="F93" s="6">
        <f t="shared" si="69"/>
        <v>8.9550306954371483E-4</v>
      </c>
      <c r="G93" s="2"/>
      <c r="H93" s="7">
        <v>0</v>
      </c>
      <c r="I93" s="2"/>
      <c r="J93" s="6">
        <f t="shared" si="70"/>
        <v>0</v>
      </c>
      <c r="K93" s="2"/>
      <c r="L93" s="7">
        <f t="shared" si="71"/>
        <v>65.45</v>
      </c>
      <c r="M93" s="2"/>
      <c r="N93" s="6">
        <f t="shared" si="72"/>
        <v>0</v>
      </c>
      <c r="O93" s="11"/>
      <c r="P93" s="7">
        <v>6947.31</v>
      </c>
      <c r="Q93" s="2"/>
      <c r="R93" s="6">
        <f t="shared" si="73"/>
        <v>1.5214632042976801E-2</v>
      </c>
      <c r="S93" s="2"/>
      <c r="T93" s="7">
        <v>0</v>
      </c>
      <c r="U93" s="2"/>
      <c r="V93" s="6">
        <f t="shared" si="74"/>
        <v>0</v>
      </c>
      <c r="W93" s="2"/>
      <c r="X93" s="7">
        <f t="shared" si="75"/>
        <v>6947.31</v>
      </c>
      <c r="Y93" s="2"/>
      <c r="Z93" s="6">
        <f t="shared" si="76"/>
        <v>0</v>
      </c>
    </row>
    <row r="94" spans="1:26" s="24" customFormat="1" hidden="1" outlineLevel="2" x14ac:dyDescent="0.25">
      <c r="A94" s="26"/>
      <c r="B94" s="11" t="str">
        <f>CONCATENATE("          ", "6237", " - ", "JANITORIAL SUPPLIES")</f>
        <v xml:space="preserve">          6237 - JANITORIAL SUPPLIES</v>
      </c>
      <c r="C94" s="11"/>
      <c r="D94" s="7"/>
      <c r="E94" s="2"/>
      <c r="F94" s="6">
        <f t="shared" si="69"/>
        <v>0</v>
      </c>
      <c r="G94" s="2"/>
      <c r="H94" s="7">
        <v>700</v>
      </c>
      <c r="I94" s="2"/>
      <c r="J94" s="6">
        <f t="shared" si="70"/>
        <v>4.5310376076121435E-2</v>
      </c>
      <c r="K94" s="2"/>
      <c r="L94" s="7">
        <f t="shared" si="71"/>
        <v>-700</v>
      </c>
      <c r="M94" s="2"/>
      <c r="N94" s="6">
        <f t="shared" si="72"/>
        <v>-1</v>
      </c>
      <c r="O94" s="11"/>
      <c r="P94" s="7">
        <v>358.91</v>
      </c>
      <c r="Q94" s="2"/>
      <c r="R94" s="6">
        <f t="shared" si="73"/>
        <v>7.8601409560604091E-4</v>
      </c>
      <c r="S94" s="2"/>
      <c r="T94" s="7">
        <v>9149</v>
      </c>
      <c r="U94" s="2"/>
      <c r="V94" s="6">
        <f t="shared" si="74"/>
        <v>4.362899380066762E-2</v>
      </c>
      <c r="W94" s="2"/>
      <c r="X94" s="7">
        <f t="shared" si="75"/>
        <v>-8790.09</v>
      </c>
      <c r="Y94" s="2"/>
      <c r="Z94" s="6">
        <f t="shared" si="76"/>
        <v>-0.9607705760192371</v>
      </c>
    </row>
    <row r="95" spans="1:26" s="24" customFormat="1" hidden="1" outlineLevel="2" x14ac:dyDescent="0.25">
      <c r="A95" s="26"/>
      <c r="B95" s="11" t="str">
        <f>CONCATENATE("          ", "6239", " - ", "KITCHEN SUPPLIES")</f>
        <v xml:space="preserve">          6239 - KITCHEN SUPPLIES</v>
      </c>
      <c r="C95" s="11"/>
      <c r="D95" s="7"/>
      <c r="E95" s="2"/>
      <c r="F95" s="6">
        <f t="shared" si="69"/>
        <v>0</v>
      </c>
      <c r="G95" s="2"/>
      <c r="H95" s="7">
        <v>50</v>
      </c>
      <c r="I95" s="2"/>
      <c r="J95" s="6">
        <f t="shared" si="70"/>
        <v>3.2364554340086737E-3</v>
      </c>
      <c r="K95" s="2"/>
      <c r="L95" s="7">
        <f t="shared" si="71"/>
        <v>-50</v>
      </c>
      <c r="M95" s="2"/>
      <c r="N95" s="6">
        <f t="shared" si="72"/>
        <v>-1</v>
      </c>
      <c r="O95" s="11"/>
      <c r="P95" s="7">
        <v>19.829999999999998</v>
      </c>
      <c r="Q95" s="2"/>
      <c r="R95" s="6">
        <f t="shared" si="73"/>
        <v>4.3427766057974945E-5</v>
      </c>
      <c r="S95" s="2"/>
      <c r="T95" s="7">
        <v>443</v>
      </c>
      <c r="U95" s="2"/>
      <c r="V95" s="6">
        <f t="shared" si="74"/>
        <v>2.112541726275632E-3</v>
      </c>
      <c r="W95" s="2"/>
      <c r="X95" s="7">
        <f t="shared" si="75"/>
        <v>-423.17</v>
      </c>
      <c r="Y95" s="2"/>
      <c r="Z95" s="6">
        <f t="shared" si="76"/>
        <v>-0.95523702031602709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7">
        <v>440.72</v>
      </c>
      <c r="E96" s="2"/>
      <c r="F96" s="6">
        <f t="shared" si="69"/>
        <v>6.030039920692223E-3</v>
      </c>
      <c r="G96" s="2"/>
      <c r="H96" s="7">
        <v>125</v>
      </c>
      <c r="I96" s="2"/>
      <c r="J96" s="6">
        <f t="shared" si="70"/>
        <v>8.0911385850216851E-3</v>
      </c>
      <c r="K96" s="2"/>
      <c r="L96" s="7">
        <f t="shared" si="71"/>
        <v>315.72000000000003</v>
      </c>
      <c r="M96" s="2"/>
      <c r="N96" s="6">
        <f t="shared" si="72"/>
        <v>2.52576</v>
      </c>
      <c r="O96" s="11"/>
      <c r="P96" s="7">
        <v>-28543.14</v>
      </c>
      <c r="Q96" s="2"/>
      <c r="R96" s="6">
        <f t="shared" si="73"/>
        <v>-6.2509571683309492E-2</v>
      </c>
      <c r="S96" s="2"/>
      <c r="T96" s="7">
        <v>5712</v>
      </c>
      <c r="U96" s="2"/>
      <c r="V96" s="6">
        <f t="shared" si="74"/>
        <v>2.7238912732474963E-2</v>
      </c>
      <c r="W96" s="2"/>
      <c r="X96" s="7">
        <f t="shared" si="75"/>
        <v>-34255.14</v>
      </c>
      <c r="Y96" s="2"/>
      <c r="Z96" s="6">
        <f t="shared" si="76"/>
        <v>-5.9970483193277309</v>
      </c>
    </row>
    <row r="97" spans="1:26" s="24" customFormat="1" hidden="1" outlineLevel="2" x14ac:dyDescent="0.25">
      <c r="A97" s="26"/>
      <c r="B97" s="11" t="str">
        <f>CONCATENATE("          ", "6243", " - ", "PAPER SUPPLIES")</f>
        <v xml:space="preserve">          6243 - PAPER SUPPLIES</v>
      </c>
      <c r="C97" s="11"/>
      <c r="D97" s="7">
        <v>94.92</v>
      </c>
      <c r="E97" s="2"/>
      <c r="F97" s="6">
        <f t="shared" si="69"/>
        <v>1.2987188901617938E-3</v>
      </c>
      <c r="G97" s="2"/>
      <c r="H97" s="7">
        <v>500</v>
      </c>
      <c r="I97" s="2"/>
      <c r="J97" s="6">
        <f t="shared" si="70"/>
        <v>3.236455434008674E-2</v>
      </c>
      <c r="K97" s="2"/>
      <c r="L97" s="7">
        <f t="shared" si="71"/>
        <v>-405.08</v>
      </c>
      <c r="M97" s="2"/>
      <c r="N97" s="6">
        <f t="shared" si="72"/>
        <v>-0.81015999999999999</v>
      </c>
      <c r="O97" s="11"/>
      <c r="P97" s="7">
        <v>255.33</v>
      </c>
      <c r="Q97" s="2"/>
      <c r="R97" s="6">
        <f t="shared" si="73"/>
        <v>5.5917355055888781E-4</v>
      </c>
      <c r="S97" s="2"/>
      <c r="T97" s="7">
        <v>5719</v>
      </c>
      <c r="U97" s="2"/>
      <c r="V97" s="6">
        <f t="shared" si="74"/>
        <v>2.7272293752980448E-2</v>
      </c>
      <c r="W97" s="2"/>
      <c r="X97" s="7">
        <f t="shared" si="75"/>
        <v>-5463.67</v>
      </c>
      <c r="Y97" s="2"/>
      <c r="Z97" s="6">
        <f t="shared" si="76"/>
        <v>-0.95535408288162271</v>
      </c>
    </row>
    <row r="98" spans="1:26" s="24" customFormat="1" hidden="1" outlineLevel="2" x14ac:dyDescent="0.25">
      <c r="A98" s="26"/>
      <c r="B98" s="11" t="str">
        <f>CONCATENATE("          ", "6244", " - ", "SAFETY SUPPLY EXPENSE")</f>
        <v xml:space="preserve">          6244 - SAFETY SUPPLY EXPENSE</v>
      </c>
      <c r="C98" s="11"/>
      <c r="D98" s="7"/>
      <c r="E98" s="2"/>
      <c r="F98" s="6">
        <f t="shared" si="69"/>
        <v>0</v>
      </c>
      <c r="G98" s="2"/>
      <c r="H98" s="7">
        <v>0</v>
      </c>
      <c r="I98" s="2"/>
      <c r="J98" s="6">
        <f t="shared" si="70"/>
        <v>0</v>
      </c>
      <c r="K98" s="2"/>
      <c r="L98" s="7">
        <f t="shared" si="71"/>
        <v>0</v>
      </c>
      <c r="M98" s="2"/>
      <c r="N98" s="6">
        <f t="shared" si="72"/>
        <v>0</v>
      </c>
      <c r="O98" s="11"/>
      <c r="P98" s="7"/>
      <c r="Q98" s="2"/>
      <c r="R98" s="6">
        <f t="shared" si="73"/>
        <v>0</v>
      </c>
      <c r="S98" s="2"/>
      <c r="T98" s="7">
        <v>0</v>
      </c>
      <c r="U98" s="2"/>
      <c r="V98" s="6">
        <f t="shared" si="74"/>
        <v>0</v>
      </c>
      <c r="W98" s="2"/>
      <c r="X98" s="7">
        <f t="shared" si="75"/>
        <v>0</v>
      </c>
      <c r="Y98" s="2"/>
      <c r="Z98" s="6">
        <f t="shared" si="76"/>
        <v>0</v>
      </c>
    </row>
    <row r="99" spans="1:26" s="24" customFormat="1" hidden="1" outlineLevel="2" x14ac:dyDescent="0.25">
      <c r="A99" s="26"/>
      <c r="B99" s="11" t="str">
        <f>CONCATENATE("          ", "6245", " - ", "PRINTING")</f>
        <v xml:space="preserve">          6245 - PRINTING</v>
      </c>
      <c r="C99" s="11"/>
      <c r="D99" s="7"/>
      <c r="E99" s="2"/>
      <c r="F99" s="6">
        <f t="shared" si="69"/>
        <v>0</v>
      </c>
      <c r="G99" s="2"/>
      <c r="H99" s="7">
        <v>0</v>
      </c>
      <c r="I99" s="2"/>
      <c r="J99" s="6">
        <f t="shared" si="70"/>
        <v>0</v>
      </c>
      <c r="K99" s="2"/>
      <c r="L99" s="7">
        <f t="shared" si="71"/>
        <v>0</v>
      </c>
      <c r="M99" s="2"/>
      <c r="N99" s="6">
        <f t="shared" si="72"/>
        <v>0</v>
      </c>
      <c r="O99" s="11"/>
      <c r="P99" s="7"/>
      <c r="Q99" s="2"/>
      <c r="R99" s="6">
        <f t="shared" si="73"/>
        <v>0</v>
      </c>
      <c r="S99" s="2"/>
      <c r="T99" s="7">
        <v>0</v>
      </c>
      <c r="U99" s="2"/>
      <c r="V99" s="6">
        <f t="shared" si="74"/>
        <v>0</v>
      </c>
      <c r="W99" s="2"/>
      <c r="X99" s="7">
        <f t="shared" si="75"/>
        <v>0</v>
      </c>
      <c r="Y99" s="2"/>
      <c r="Z99" s="6">
        <f t="shared" si="76"/>
        <v>0</v>
      </c>
    </row>
    <row r="100" spans="1:26" s="24" customFormat="1" hidden="1" outlineLevel="2" x14ac:dyDescent="0.25">
      <c r="A100" s="26"/>
      <c r="B100" s="11" t="str">
        <f>CONCATENATE("          ", "6246", " - ", "REPLACEMENTS")</f>
        <v xml:space="preserve">          6246 - REPLACEMENTS</v>
      </c>
      <c r="C100" s="11"/>
      <c r="D100" s="7"/>
      <c r="E100" s="2"/>
      <c r="F100" s="6">
        <f t="shared" si="69"/>
        <v>0</v>
      </c>
      <c r="G100" s="2"/>
      <c r="H100" s="7">
        <v>0</v>
      </c>
      <c r="I100" s="2"/>
      <c r="J100" s="6">
        <f t="shared" si="70"/>
        <v>0</v>
      </c>
      <c r="K100" s="2"/>
      <c r="L100" s="7">
        <f t="shared" si="71"/>
        <v>0</v>
      </c>
      <c r="M100" s="2"/>
      <c r="N100" s="6">
        <f t="shared" si="72"/>
        <v>0</v>
      </c>
      <c r="O100" s="11"/>
      <c r="P100" s="7"/>
      <c r="Q100" s="2"/>
      <c r="R100" s="6">
        <f t="shared" si="73"/>
        <v>0</v>
      </c>
      <c r="S100" s="2"/>
      <c r="T100" s="7">
        <v>0</v>
      </c>
      <c r="U100" s="2"/>
      <c r="V100" s="6">
        <f t="shared" si="74"/>
        <v>0</v>
      </c>
      <c r="W100" s="2"/>
      <c r="X100" s="7">
        <f t="shared" si="75"/>
        <v>0</v>
      </c>
      <c r="Y100" s="2"/>
      <c r="Z100" s="6">
        <f t="shared" si="76"/>
        <v>0</v>
      </c>
    </row>
    <row r="101" spans="1:26" s="24" customFormat="1" hidden="1" outlineLevel="2" x14ac:dyDescent="0.25">
      <c r="A101" s="26"/>
      <c r="B101" s="11" t="str">
        <f>CONCATENATE("          ", "6247", " - ", "STORE SUPPLIES")</f>
        <v xml:space="preserve">          6247 - STORE SUPPLIES</v>
      </c>
      <c r="C101" s="11"/>
      <c r="D101" s="7"/>
      <c r="E101" s="2"/>
      <c r="F101" s="6">
        <f t="shared" si="69"/>
        <v>0</v>
      </c>
      <c r="G101" s="2"/>
      <c r="H101" s="7">
        <v>0</v>
      </c>
      <c r="I101" s="2"/>
      <c r="J101" s="6">
        <f t="shared" si="70"/>
        <v>0</v>
      </c>
      <c r="K101" s="2"/>
      <c r="L101" s="7">
        <f t="shared" si="71"/>
        <v>0</v>
      </c>
      <c r="M101" s="2"/>
      <c r="N101" s="6">
        <f t="shared" si="72"/>
        <v>0</v>
      </c>
      <c r="O101" s="11"/>
      <c r="P101" s="7"/>
      <c r="Q101" s="2"/>
      <c r="R101" s="6">
        <f t="shared" si="73"/>
        <v>0</v>
      </c>
      <c r="S101" s="2"/>
      <c r="T101" s="7">
        <v>411</v>
      </c>
      <c r="U101" s="2"/>
      <c r="V101" s="6">
        <f t="shared" si="74"/>
        <v>1.9599427753934193E-3</v>
      </c>
      <c r="W101" s="2"/>
      <c r="X101" s="7">
        <f t="shared" si="75"/>
        <v>-411</v>
      </c>
      <c r="Y101" s="2"/>
      <c r="Z101" s="6">
        <f t="shared" si="76"/>
        <v>-1</v>
      </c>
    </row>
    <row r="102" spans="1:26" s="24" customFormat="1" hidden="1" outlineLevel="2" x14ac:dyDescent="0.25">
      <c r="A102" s="26"/>
      <c r="B102" s="11" t="str">
        <f>CONCATENATE("          ", "6248", " - ", "UNIFORMS")</f>
        <v xml:space="preserve">          6248 - UNIFORMS</v>
      </c>
      <c r="C102" s="11"/>
      <c r="D102" s="7"/>
      <c r="E102" s="2"/>
      <c r="F102" s="6">
        <f t="shared" si="69"/>
        <v>0</v>
      </c>
      <c r="G102" s="2"/>
      <c r="H102" s="7">
        <v>0</v>
      </c>
      <c r="I102" s="2"/>
      <c r="J102" s="6">
        <f t="shared" si="70"/>
        <v>0</v>
      </c>
      <c r="K102" s="2"/>
      <c r="L102" s="7">
        <f t="shared" si="71"/>
        <v>0</v>
      </c>
      <c r="M102" s="2"/>
      <c r="N102" s="6">
        <f t="shared" si="72"/>
        <v>0</v>
      </c>
      <c r="O102" s="11"/>
      <c r="P102" s="7"/>
      <c r="Q102" s="2"/>
      <c r="R102" s="6">
        <f t="shared" si="73"/>
        <v>0</v>
      </c>
      <c r="S102" s="2"/>
      <c r="T102" s="7">
        <v>15</v>
      </c>
      <c r="U102" s="2"/>
      <c r="V102" s="6">
        <f t="shared" si="74"/>
        <v>7.1530758226037201E-5</v>
      </c>
      <c r="W102" s="2"/>
      <c r="X102" s="7">
        <f t="shared" si="75"/>
        <v>-15</v>
      </c>
      <c r="Y102" s="2"/>
      <c r="Z102" s="6">
        <f t="shared" si="76"/>
        <v>-1</v>
      </c>
    </row>
    <row r="103" spans="1:26" s="25" customFormat="1" outlineLevel="1" collapsed="1" x14ac:dyDescent="0.25">
      <c r="A103" s="27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SUM(OSRRefD22_18x_0)</f>
        <v>248.6</v>
      </c>
      <c r="E103" s="1"/>
      <c r="F103" s="5">
        <f t="shared" ref="F103:F105" si="77">IF(D$12=0,0,D103/D$12)</f>
        <v>3.4014066170904127E-3</v>
      </c>
      <c r="G103" s="1"/>
      <c r="H103" s="1">
        <f>SUM(OSRRefH22_18x_0)</f>
        <v>385</v>
      </c>
      <c r="I103" s="1"/>
      <c r="J103" s="5">
        <f t="shared" ref="J103:J105" si="78">IF(H$12=0,0,H103/H$12)</f>
        <v>2.4920706841866789E-2</v>
      </c>
      <c r="K103" s="1"/>
      <c r="L103" s="1">
        <f t="shared" ref="L103:L105" si="79">+D103-H103</f>
        <v>-136.4</v>
      </c>
      <c r="M103" s="1"/>
      <c r="N103" s="5">
        <f t="shared" ref="N103:N105" si="80">IF(H103=0,0,L103/H103)</f>
        <v>-0.35428571428571431</v>
      </c>
      <c r="O103" s="13"/>
      <c r="P103" s="1">
        <f>SUM(OSRRefP22_18x_0)</f>
        <v>5846.01</v>
      </c>
      <c r="Q103" s="1"/>
      <c r="R103" s="5">
        <f t="shared" ref="R103:R105" si="81">IF(P$12=0,0,P103/P$12)</f>
        <v>1.2802781374310748E-2</v>
      </c>
      <c r="S103" s="1"/>
      <c r="T103" s="1">
        <f>SUM(OSRRefT22_18x_0)</f>
        <v>3442</v>
      </c>
      <c r="U103" s="1"/>
      <c r="V103" s="5">
        <f t="shared" ref="V103:V105" si="82">IF(T$12=0,0,T103/T$12)</f>
        <v>1.6413924654268001E-2</v>
      </c>
      <c r="W103" s="1"/>
      <c r="X103" s="1">
        <f t="shared" ref="X103:X105" si="83">+P103-T103</f>
        <v>2404.0100000000002</v>
      </c>
      <c r="Y103" s="1"/>
      <c r="Z103" s="5">
        <f t="shared" ref="Z103:Z105" si="84">IF(T103=0,0,X103/T103)</f>
        <v>0.69843404997094716</v>
      </c>
    </row>
    <row r="104" spans="1:26" s="24" customFormat="1" hidden="1" outlineLevel="2" x14ac:dyDescent="0.25">
      <c r="A104" s="26"/>
      <c r="B104" s="11" t="str">
        <f>CONCATENATE("          ", "6303", " - ", "DATA PHONE LINES")</f>
        <v xml:space="preserve">          6303 - DATA PHONE LINES</v>
      </c>
      <c r="C104" s="11"/>
      <c r="D104" s="7"/>
      <c r="E104" s="2"/>
      <c r="F104" s="6">
        <f t="shared" si="77"/>
        <v>0</v>
      </c>
      <c r="G104" s="2"/>
      <c r="H104" s="7">
        <v>135</v>
      </c>
      <c r="I104" s="2"/>
      <c r="J104" s="6">
        <f t="shared" si="78"/>
        <v>8.7384296718234188E-3</v>
      </c>
      <c r="K104" s="2"/>
      <c r="L104" s="7">
        <f t="shared" si="79"/>
        <v>-135</v>
      </c>
      <c r="M104" s="2"/>
      <c r="N104" s="6">
        <f t="shared" si="80"/>
        <v>-1</v>
      </c>
      <c r="O104" s="11"/>
      <c r="P104" s="7"/>
      <c r="Q104" s="2"/>
      <c r="R104" s="6">
        <f t="shared" si="81"/>
        <v>0</v>
      </c>
      <c r="S104" s="2"/>
      <c r="T104" s="7">
        <v>1392</v>
      </c>
      <c r="U104" s="2"/>
      <c r="V104" s="6">
        <f t="shared" si="82"/>
        <v>6.6380543633762518E-3</v>
      </c>
      <c r="W104" s="2"/>
      <c r="X104" s="7">
        <f t="shared" si="83"/>
        <v>-1392</v>
      </c>
      <c r="Y104" s="2"/>
      <c r="Z104" s="6">
        <f t="shared" si="84"/>
        <v>-1</v>
      </c>
    </row>
    <row r="105" spans="1:26" s="24" customFormat="1" hidden="1" outlineLevel="2" x14ac:dyDescent="0.25">
      <c r="A105" s="26"/>
      <c r="B105" s="11" t="str">
        <f>CONCATENATE("          ", "6309", " - ", "TELEPHONE")</f>
        <v xml:space="preserve">          6309 - TELEPHONE</v>
      </c>
      <c r="C105" s="11"/>
      <c r="D105" s="7">
        <v>248.6</v>
      </c>
      <c r="E105" s="2"/>
      <c r="F105" s="6">
        <f t="shared" si="77"/>
        <v>3.4014066170904127E-3</v>
      </c>
      <c r="G105" s="2"/>
      <c r="H105" s="7">
        <v>250</v>
      </c>
      <c r="I105" s="2"/>
      <c r="J105" s="6">
        <f t="shared" si="78"/>
        <v>1.618227717004337E-2</v>
      </c>
      <c r="K105" s="2"/>
      <c r="L105" s="7">
        <f t="shared" si="79"/>
        <v>-1.4000000000000057</v>
      </c>
      <c r="M105" s="2"/>
      <c r="N105" s="6">
        <f t="shared" si="80"/>
        <v>-5.6000000000000225E-3</v>
      </c>
      <c r="O105" s="11"/>
      <c r="P105" s="7">
        <v>5846.01</v>
      </c>
      <c r="Q105" s="2"/>
      <c r="R105" s="6">
        <f t="shared" si="81"/>
        <v>1.2802781374310748E-2</v>
      </c>
      <c r="S105" s="2"/>
      <c r="T105" s="7">
        <v>2050</v>
      </c>
      <c r="U105" s="2"/>
      <c r="V105" s="6">
        <f t="shared" si="82"/>
        <v>9.7758702908917507E-3</v>
      </c>
      <c r="W105" s="2"/>
      <c r="X105" s="7">
        <f t="shared" si="83"/>
        <v>3796.01</v>
      </c>
      <c r="Y105" s="2"/>
      <c r="Z105" s="6">
        <f t="shared" si="84"/>
        <v>1.8517121951219513</v>
      </c>
    </row>
    <row r="106" spans="1:26" s="25" customFormat="1" outlineLevel="1" collapsed="1" x14ac:dyDescent="0.25">
      <c r="A106" s="27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SUM(OSRRefD22_19x_0)</f>
        <v>0</v>
      </c>
      <c r="E106" s="1"/>
      <c r="F106" s="5">
        <f t="shared" ref="F106:F111" si="85">IF(D$12=0,0,D106/D$12)</f>
        <v>0</v>
      </c>
      <c r="G106" s="1"/>
      <c r="H106" s="1">
        <f>SUM(OSRRefH22_19x_0)</f>
        <v>0</v>
      </c>
      <c r="I106" s="1"/>
      <c r="J106" s="5">
        <f t="shared" ref="J106:J111" si="86">IF(H$12=0,0,H106/H$12)</f>
        <v>0</v>
      </c>
      <c r="K106" s="1"/>
      <c r="L106" s="1">
        <f t="shared" ref="L106:L111" si="87">+D106-H106</f>
        <v>0</v>
      </c>
      <c r="M106" s="1"/>
      <c r="N106" s="5">
        <f t="shared" ref="N106:N111" si="88">IF(H106=0,0,L106/H106)</f>
        <v>0</v>
      </c>
      <c r="O106" s="13"/>
      <c r="P106" s="1">
        <f>SUM(OSRRefP22_19x_0)</f>
        <v>400</v>
      </c>
      <c r="Q106" s="1"/>
      <c r="R106" s="5">
        <f t="shared" ref="R106:R111" si="89">IF(P$12=0,0,P106/P$12)</f>
        <v>8.7600133248562687E-4</v>
      </c>
      <c r="S106" s="1"/>
      <c r="T106" s="1">
        <f>SUM(OSRRefT22_19x_0)</f>
        <v>0</v>
      </c>
      <c r="U106" s="1"/>
      <c r="V106" s="5">
        <f t="shared" ref="V106:V111" si="90">IF(T$12=0,0,T106/T$12)</f>
        <v>0</v>
      </c>
      <c r="W106" s="1"/>
      <c r="X106" s="1">
        <f t="shared" ref="X106:X111" si="91">+P106-T106</f>
        <v>400</v>
      </c>
      <c r="Y106" s="1"/>
      <c r="Z106" s="5">
        <f t="shared" ref="Z106:Z111" si="92">IF(T106=0,0,X106/T106)</f>
        <v>0</v>
      </c>
    </row>
    <row r="107" spans="1:26" s="24" customFormat="1" hidden="1" outlineLevel="2" x14ac:dyDescent="0.25">
      <c r="A107" s="26"/>
      <c r="B107" s="11" t="str">
        <f>CONCATENATE("          ", "6376", " - ", "TRAINING")</f>
        <v xml:space="preserve">          6376 - TRAINING</v>
      </c>
      <c r="C107" s="11"/>
      <c r="D107" s="7"/>
      <c r="E107" s="2"/>
      <c r="F107" s="6">
        <f t="shared" si="85"/>
        <v>0</v>
      </c>
      <c r="G107" s="2"/>
      <c r="H107" s="7">
        <v>0</v>
      </c>
      <c r="I107" s="2"/>
      <c r="J107" s="6">
        <f t="shared" si="86"/>
        <v>0</v>
      </c>
      <c r="K107" s="2"/>
      <c r="L107" s="7">
        <f t="shared" si="87"/>
        <v>0</v>
      </c>
      <c r="M107" s="2"/>
      <c r="N107" s="6">
        <f t="shared" si="88"/>
        <v>0</v>
      </c>
      <c r="O107" s="11"/>
      <c r="P107" s="7">
        <v>400</v>
      </c>
      <c r="Q107" s="2"/>
      <c r="R107" s="6">
        <f t="shared" si="89"/>
        <v>8.7600133248562687E-4</v>
      </c>
      <c r="S107" s="2"/>
      <c r="T107" s="7">
        <v>0</v>
      </c>
      <c r="U107" s="2"/>
      <c r="V107" s="6">
        <f t="shared" si="90"/>
        <v>0</v>
      </c>
      <c r="W107" s="2"/>
      <c r="X107" s="7">
        <f t="shared" si="91"/>
        <v>400</v>
      </c>
      <c r="Y107" s="2"/>
      <c r="Z107" s="6">
        <f t="shared" si="92"/>
        <v>0</v>
      </c>
    </row>
    <row r="108" spans="1:26" s="25" customFormat="1" outlineLevel="1" collapsed="1" x14ac:dyDescent="0.25">
      <c r="A108" s="27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SUM(OSRRefD22_20x_0)</f>
        <v>0</v>
      </c>
      <c r="E108" s="1"/>
      <c r="F108" s="5">
        <f t="shared" si="85"/>
        <v>0</v>
      </c>
      <c r="G108" s="1"/>
      <c r="H108" s="1">
        <f>SUM(OSRRefH22_20x_0)</f>
        <v>0</v>
      </c>
      <c r="I108" s="1"/>
      <c r="J108" s="5">
        <f t="shared" si="86"/>
        <v>0</v>
      </c>
      <c r="K108" s="1"/>
      <c r="L108" s="1">
        <f t="shared" si="87"/>
        <v>0</v>
      </c>
      <c r="M108" s="1"/>
      <c r="N108" s="5">
        <f t="shared" si="88"/>
        <v>0</v>
      </c>
      <c r="O108" s="13"/>
      <c r="P108" s="1">
        <f>SUM(OSRRefP22_20x_0)</f>
        <v>332.21</v>
      </c>
      <c r="Q108" s="1"/>
      <c r="R108" s="5">
        <f t="shared" si="89"/>
        <v>7.2754100666262516E-4</v>
      </c>
      <c r="S108" s="1"/>
      <c r="T108" s="1">
        <f>SUM(OSRRefT22_20x_0)</f>
        <v>0</v>
      </c>
      <c r="U108" s="1"/>
      <c r="V108" s="5">
        <f t="shared" si="90"/>
        <v>0</v>
      </c>
      <c r="W108" s="1"/>
      <c r="X108" s="1">
        <f t="shared" si="91"/>
        <v>332.21</v>
      </c>
      <c r="Y108" s="1"/>
      <c r="Z108" s="5">
        <f t="shared" si="92"/>
        <v>0</v>
      </c>
    </row>
    <row r="109" spans="1:26" s="24" customFormat="1" hidden="1" outlineLevel="2" x14ac:dyDescent="0.25">
      <c r="A109" s="26"/>
      <c r="B109" s="11" t="str">
        <f>CONCATENATE("          ", "6292", " - ", "TRAVEL/CONFERENCE")</f>
        <v xml:space="preserve">          6292 - TRAVEL/CONFERENCE</v>
      </c>
      <c r="C109" s="11"/>
      <c r="D109" s="7"/>
      <c r="E109" s="2"/>
      <c r="F109" s="6">
        <f t="shared" si="85"/>
        <v>0</v>
      </c>
      <c r="G109" s="2"/>
      <c r="H109" s="7"/>
      <c r="I109" s="2"/>
      <c r="J109" s="6">
        <f t="shared" si="86"/>
        <v>0</v>
      </c>
      <c r="K109" s="2"/>
      <c r="L109" s="7">
        <f t="shared" si="87"/>
        <v>0</v>
      </c>
      <c r="M109" s="2"/>
      <c r="N109" s="6">
        <f t="shared" si="88"/>
        <v>0</v>
      </c>
      <c r="O109" s="11"/>
      <c r="P109" s="7"/>
      <c r="Q109" s="2"/>
      <c r="R109" s="6">
        <f t="shared" si="89"/>
        <v>0</v>
      </c>
      <c r="S109" s="2"/>
      <c r="T109" s="7">
        <v>0</v>
      </c>
      <c r="U109" s="2"/>
      <c r="V109" s="6">
        <f t="shared" si="90"/>
        <v>0</v>
      </c>
      <c r="W109" s="2"/>
      <c r="X109" s="7">
        <f t="shared" si="91"/>
        <v>0</v>
      </c>
      <c r="Y109" s="2"/>
      <c r="Z109" s="6">
        <f t="shared" si="92"/>
        <v>0</v>
      </c>
    </row>
    <row r="110" spans="1:26" s="24" customFormat="1" hidden="1" outlineLevel="2" x14ac:dyDescent="0.25">
      <c r="A110" s="26"/>
      <c r="B110" s="11" t="str">
        <f>CONCATENATE("          ", "6294", " - ", "TRAVEL OPERATIONAL")</f>
        <v xml:space="preserve">          6294 - TRAVEL OPERATIONAL</v>
      </c>
      <c r="C110" s="11"/>
      <c r="D110" s="7"/>
      <c r="E110" s="2"/>
      <c r="F110" s="6">
        <f t="shared" si="85"/>
        <v>0</v>
      </c>
      <c r="G110" s="2"/>
      <c r="H110" s="7"/>
      <c r="I110" s="2"/>
      <c r="J110" s="6">
        <f t="shared" si="86"/>
        <v>0</v>
      </c>
      <c r="K110" s="2"/>
      <c r="L110" s="7">
        <f t="shared" si="87"/>
        <v>0</v>
      </c>
      <c r="M110" s="2"/>
      <c r="N110" s="6">
        <f t="shared" si="88"/>
        <v>0</v>
      </c>
      <c r="O110" s="11"/>
      <c r="P110" s="7"/>
      <c r="Q110" s="2"/>
      <c r="R110" s="6">
        <f t="shared" si="89"/>
        <v>0</v>
      </c>
      <c r="S110" s="2"/>
      <c r="T110" s="7">
        <v>0</v>
      </c>
      <c r="U110" s="2"/>
      <c r="V110" s="6">
        <f t="shared" si="90"/>
        <v>0</v>
      </c>
      <c r="W110" s="2"/>
      <c r="X110" s="7">
        <f t="shared" si="91"/>
        <v>0</v>
      </c>
      <c r="Y110" s="2"/>
      <c r="Z110" s="6">
        <f t="shared" si="92"/>
        <v>0</v>
      </c>
    </row>
    <row r="111" spans="1:26" s="24" customFormat="1" hidden="1" outlineLevel="2" x14ac:dyDescent="0.25">
      <c r="A111" s="26"/>
      <c r="B111" s="11" t="str">
        <f>CONCATENATE("          ", "6298", " - ", "VEHICLE MILEAGE")</f>
        <v xml:space="preserve">          6298 - VEHICLE MILEAGE</v>
      </c>
      <c r="C111" s="11"/>
      <c r="D111" s="7"/>
      <c r="E111" s="2"/>
      <c r="F111" s="6">
        <f t="shared" si="85"/>
        <v>0</v>
      </c>
      <c r="G111" s="2"/>
      <c r="H111" s="7"/>
      <c r="I111" s="2"/>
      <c r="J111" s="6">
        <f t="shared" si="86"/>
        <v>0</v>
      </c>
      <c r="K111" s="2"/>
      <c r="L111" s="7">
        <f t="shared" si="87"/>
        <v>0</v>
      </c>
      <c r="M111" s="2"/>
      <c r="N111" s="6">
        <f t="shared" si="88"/>
        <v>0</v>
      </c>
      <c r="O111" s="11"/>
      <c r="P111" s="7">
        <v>332.21</v>
      </c>
      <c r="Q111" s="2"/>
      <c r="R111" s="6">
        <f t="shared" si="89"/>
        <v>7.2754100666262516E-4</v>
      </c>
      <c r="S111" s="2"/>
      <c r="T111" s="7"/>
      <c r="U111" s="2"/>
      <c r="V111" s="6">
        <f t="shared" si="90"/>
        <v>0</v>
      </c>
      <c r="W111" s="2"/>
      <c r="X111" s="7">
        <f t="shared" si="91"/>
        <v>332.21</v>
      </c>
      <c r="Y111" s="2"/>
      <c r="Z111" s="6">
        <f t="shared" si="92"/>
        <v>0</v>
      </c>
    </row>
    <row r="112" spans="1:26" s="25" customFormat="1" outlineLevel="1" collapsed="1" x14ac:dyDescent="0.25">
      <c r="A112" s="27"/>
      <c r="B112" s="13" t="str">
        <f>CONCATENATE("     ","Utilities                                         ")</f>
        <v xml:space="preserve">     Utilities                                         </v>
      </c>
      <c r="C112" s="13"/>
      <c r="D112" s="1">
        <f>SUM(OSRRefD22_21x_0)</f>
        <v>3648</v>
      </c>
      <c r="E112" s="1"/>
      <c r="F112" s="5">
        <f t="shared" ref="F112:F113" si="93">IF(D$12=0,0,D112/D$12)</f>
        <v>4.9912837245156175E-2</v>
      </c>
      <c r="G112" s="1"/>
      <c r="H112" s="1">
        <f>SUM(OSRRefH22_21x_0)</f>
        <v>3300</v>
      </c>
      <c r="I112" s="1"/>
      <c r="J112" s="5">
        <f t="shared" ref="J112:J113" si="94">IF(H$12=0,0,H112/H$12)</f>
        <v>0.21360605864457247</v>
      </c>
      <c r="K112" s="1"/>
      <c r="L112" s="1">
        <f t="shared" ref="L112:L113" si="95">+D112-H112</f>
        <v>348</v>
      </c>
      <c r="M112" s="1"/>
      <c r="N112" s="5">
        <f t="shared" ref="N112:N113" si="96">IF(H112=0,0,L112/H112)</f>
        <v>0.10545454545454545</v>
      </c>
      <c r="O112" s="13"/>
      <c r="P112" s="1">
        <f>SUM(OSRRefP22_21x_0)</f>
        <v>2188</v>
      </c>
      <c r="Q112" s="1"/>
      <c r="R112" s="5">
        <f t="shared" ref="R112:R113" si="97">IF(P$12=0,0,P112/P$12)</f>
        <v>4.7917272886963793E-3</v>
      </c>
      <c r="S112" s="1"/>
      <c r="T112" s="1">
        <f>SUM(OSRRefT22_21x_0)</f>
        <v>33000</v>
      </c>
      <c r="U112" s="1"/>
      <c r="V112" s="5">
        <f t="shared" ref="V112:V113" si="98">IF(T$12=0,0,T112/T$12)</f>
        <v>0.15736766809728184</v>
      </c>
      <c r="W112" s="1"/>
      <c r="X112" s="1">
        <f t="shared" ref="X112:X113" si="99">+P112-T112</f>
        <v>-30812</v>
      </c>
      <c r="Y112" s="1"/>
      <c r="Z112" s="5">
        <f t="shared" ref="Z112:Z113" si="100">IF(T112=0,0,X112/T112)</f>
        <v>-0.93369696969696969</v>
      </c>
    </row>
    <row r="113" spans="1:26" s="24" customFormat="1" hidden="1" outlineLevel="2" x14ac:dyDescent="0.25">
      <c r="A113" s="26"/>
      <c r="B113" s="11" t="str">
        <f>CONCATENATE("          ", "6274", " - ", "UTILITIES")</f>
        <v xml:space="preserve">          6274 - UTILITIES</v>
      </c>
      <c r="C113" s="11"/>
      <c r="D113" s="7">
        <v>3648</v>
      </c>
      <c r="E113" s="2"/>
      <c r="F113" s="6">
        <f t="shared" si="93"/>
        <v>4.9912837245156175E-2</v>
      </c>
      <c r="G113" s="2"/>
      <c r="H113" s="7">
        <v>3300</v>
      </c>
      <c r="I113" s="2"/>
      <c r="J113" s="6">
        <f t="shared" si="94"/>
        <v>0.21360605864457247</v>
      </c>
      <c r="K113" s="2"/>
      <c r="L113" s="7">
        <f t="shared" si="95"/>
        <v>348</v>
      </c>
      <c r="M113" s="2"/>
      <c r="N113" s="6">
        <f t="shared" si="96"/>
        <v>0.10545454545454545</v>
      </c>
      <c r="O113" s="11"/>
      <c r="P113" s="7">
        <v>2188</v>
      </c>
      <c r="Q113" s="2"/>
      <c r="R113" s="6">
        <f t="shared" si="97"/>
        <v>4.7917272886963793E-3</v>
      </c>
      <c r="S113" s="2"/>
      <c r="T113" s="7">
        <v>33000</v>
      </c>
      <c r="U113" s="2"/>
      <c r="V113" s="6">
        <f t="shared" si="98"/>
        <v>0.15736766809728184</v>
      </c>
      <c r="W113" s="2"/>
      <c r="X113" s="7">
        <f t="shared" si="99"/>
        <v>-30812</v>
      </c>
      <c r="Y113" s="2"/>
      <c r="Z113" s="6">
        <f t="shared" si="100"/>
        <v>-0.93369696969696969</v>
      </c>
    </row>
    <row r="114" spans="1:26" s="61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293</v>
      </c>
      <c r="C115" s="10"/>
      <c r="D115" s="4">
        <f>SUM(OSRRefD25x_0)</f>
        <v>1579.7400000000002</v>
      </c>
      <c r="E115" s="4"/>
      <c r="F115" s="12">
        <f t="shared" ref="F115:F119" si="101">IF(D$12=0,0,D115/D$12)</f>
        <v>2.1614392957692716E-2</v>
      </c>
      <c r="G115" s="4"/>
      <c r="H115" s="4">
        <f>SUM(OSRRefH25x_0)</f>
        <v>12296</v>
      </c>
      <c r="I115" s="4"/>
      <c r="J115" s="12">
        <f t="shared" ref="J115:J119" si="102">IF(H$12=0,0,H115/H$12)</f>
        <v>0.79590912033141303</v>
      </c>
      <c r="K115" s="4"/>
      <c r="L115" s="4">
        <f t="shared" ref="L115:L119" si="103">+D115-H115</f>
        <v>-10716.26</v>
      </c>
      <c r="M115" s="4"/>
      <c r="N115" s="12">
        <f t="shared" ref="N115:N119" si="104">IF(H115=0,0,L115/H115)</f>
        <v>-0.87152407286922573</v>
      </c>
      <c r="O115" s="10"/>
      <c r="P115" s="4">
        <f>SUM(OSRRefP25x_0)</f>
        <v>22445.4</v>
      </c>
      <c r="Q115" s="4"/>
      <c r="R115" s="12">
        <f t="shared" ref="R115:R119" si="105">IF(P$12=0,0,P115/P$12)</f>
        <v>4.9155500770432223E-2</v>
      </c>
      <c r="S115" s="4"/>
      <c r="T115" s="4">
        <f>SUM(OSRRefT25x_0)</f>
        <v>63687</v>
      </c>
      <c r="U115" s="4"/>
      <c r="V115" s="12">
        <f t="shared" ref="V115:V119" si="106">IF(T$12=0,0,T115/T$12)</f>
        <v>0.30370529327610873</v>
      </c>
      <c r="W115" s="4"/>
      <c r="X115" s="4">
        <f t="shared" ref="X115:X119" si="107">+P115-T115</f>
        <v>-41241.599999999999</v>
      </c>
      <c r="Y115" s="4"/>
      <c r="Z115" s="12">
        <f t="shared" ref="Z115:Z119" si="108">IF(T115=0,0,X115/T115)</f>
        <v>-0.64756700739554385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--496.99</f>
        <v>496.99</v>
      </c>
      <c r="E116" s="2"/>
      <c r="F116" s="19">
        <f t="shared" si="101"/>
        <v>6.7999399622999364E-3</v>
      </c>
      <c r="G116" s="2"/>
      <c r="H116" s="2">
        <v>3862</v>
      </c>
      <c r="I116" s="2"/>
      <c r="J116" s="19">
        <f t="shared" si="102"/>
        <v>0.24998381772282996</v>
      </c>
      <c r="K116" s="2"/>
      <c r="L116" s="2">
        <f t="shared" si="103"/>
        <v>-3365.01</v>
      </c>
      <c r="M116" s="2"/>
      <c r="N116" s="19">
        <f t="shared" si="104"/>
        <v>-0.87131279129984474</v>
      </c>
      <c r="O116" s="11"/>
      <c r="P116" s="2">
        <f>--5341.48</f>
        <v>5341.48</v>
      </c>
      <c r="Q116" s="2"/>
      <c r="R116" s="19">
        <f t="shared" si="105"/>
        <v>1.1697858993613315E-2</v>
      </c>
      <c r="S116" s="2"/>
      <c r="T116" s="2">
        <v>23504</v>
      </c>
      <c r="U116" s="2"/>
      <c r="V116" s="19">
        <f t="shared" si="106"/>
        <v>0.11208392942298522</v>
      </c>
      <c r="W116" s="2"/>
      <c r="X116" s="2">
        <f t="shared" si="107"/>
        <v>-18162.52</v>
      </c>
      <c r="Y116" s="2"/>
      <c r="Z116" s="19">
        <f t="shared" si="108"/>
        <v>-0.77274166099387342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>0</f>
        <v>0</v>
      </c>
      <c r="E117" s="2"/>
      <c r="F117" s="19">
        <f t="shared" si="101"/>
        <v>0</v>
      </c>
      <c r="G117" s="2"/>
      <c r="H117" s="2">
        <v>7070</v>
      </c>
      <c r="I117" s="2"/>
      <c r="J117" s="19">
        <f t="shared" si="102"/>
        <v>0.45763479836882648</v>
      </c>
      <c r="K117" s="2"/>
      <c r="L117" s="2">
        <f t="shared" si="103"/>
        <v>-7070</v>
      </c>
      <c r="M117" s="2"/>
      <c r="N117" s="19">
        <f t="shared" si="104"/>
        <v>-1</v>
      </c>
      <c r="O117" s="11"/>
      <c r="P117" s="2">
        <f>0</f>
        <v>0</v>
      </c>
      <c r="Q117" s="2"/>
      <c r="R117" s="19">
        <f t="shared" si="105"/>
        <v>0</v>
      </c>
      <c r="S117" s="2"/>
      <c r="T117" s="2">
        <v>29368</v>
      </c>
      <c r="U117" s="2"/>
      <c r="V117" s="19">
        <f t="shared" si="106"/>
        <v>0.14004768717215069</v>
      </c>
      <c r="W117" s="2"/>
      <c r="X117" s="2">
        <f t="shared" si="107"/>
        <v>-29368</v>
      </c>
      <c r="Y117" s="2"/>
      <c r="Z117" s="19">
        <f t="shared" si="108"/>
        <v>-1</v>
      </c>
    </row>
    <row r="118" spans="1:26" s="24" customFormat="1" hidden="1" outlineLevel="1" x14ac:dyDescent="0.25">
      <c r="A118" s="44"/>
      <c r="B118" s="11" t="str">
        <f>CONCATENATE("          ", "9160", " - ", "MISC. INCOME")</f>
        <v xml:space="preserve">          9160 - MISC. INCOME</v>
      </c>
      <c r="C118" s="11"/>
      <c r="D118" s="2">
        <f>--732.1</f>
        <v>732.1</v>
      </c>
      <c r="E118" s="2"/>
      <c r="F118" s="19">
        <f t="shared" si="101"/>
        <v>1.0016773066660866E-2</v>
      </c>
      <c r="G118" s="2"/>
      <c r="H118" s="2">
        <v>1364</v>
      </c>
      <c r="I118" s="2"/>
      <c r="J118" s="19">
        <f t="shared" si="102"/>
        <v>8.8290504239756623E-2</v>
      </c>
      <c r="K118" s="2"/>
      <c r="L118" s="2">
        <f t="shared" si="103"/>
        <v>-631.9</v>
      </c>
      <c r="M118" s="2"/>
      <c r="N118" s="19">
        <f t="shared" si="104"/>
        <v>-0.46326979472140761</v>
      </c>
      <c r="O118" s="11"/>
      <c r="P118" s="2">
        <f>--13615.06</f>
        <v>13615.06</v>
      </c>
      <c r="Q118" s="2"/>
      <c r="R118" s="19">
        <f t="shared" si="105"/>
        <v>2.9817026754679395E-2</v>
      </c>
      <c r="S118" s="2"/>
      <c r="T118" s="2">
        <v>10815</v>
      </c>
      <c r="U118" s="2"/>
      <c r="V118" s="19">
        <f t="shared" si="106"/>
        <v>5.1573676680972819E-2</v>
      </c>
      <c r="W118" s="2"/>
      <c r="X118" s="2">
        <f t="shared" si="107"/>
        <v>2800.0599999999995</v>
      </c>
      <c r="Y118" s="2"/>
      <c r="Z118" s="19">
        <f t="shared" si="108"/>
        <v>0.25890522422561252</v>
      </c>
    </row>
    <row r="119" spans="1:26" s="24" customFormat="1" hidden="1" outlineLevel="1" x14ac:dyDescent="0.25">
      <c r="A119" s="44"/>
      <c r="B119" s="11" t="str">
        <f>CONCATENATE("          ", "9165", " - ", "OTHER INCOME")</f>
        <v xml:space="preserve">          9165 - OTHER INCOME</v>
      </c>
      <c r="C119" s="11"/>
      <c r="D119" s="2">
        <f>--350.65</f>
        <v>350.65</v>
      </c>
      <c r="E119" s="2"/>
      <c r="F119" s="19">
        <f t="shared" si="101"/>
        <v>4.7976799287319108E-3</v>
      </c>
      <c r="G119" s="2"/>
      <c r="H119" s="2"/>
      <c r="I119" s="2"/>
      <c r="J119" s="19">
        <f t="shared" si="102"/>
        <v>0</v>
      </c>
      <c r="K119" s="2"/>
      <c r="L119" s="2">
        <f t="shared" si="103"/>
        <v>350.65</v>
      </c>
      <c r="M119" s="2"/>
      <c r="N119" s="19">
        <f t="shared" si="104"/>
        <v>0</v>
      </c>
      <c r="O119" s="11"/>
      <c r="P119" s="2">
        <f>--3488.86</f>
        <v>3488.86</v>
      </c>
      <c r="Q119" s="2"/>
      <c r="R119" s="19">
        <f t="shared" si="105"/>
        <v>7.6406150221395106E-3</v>
      </c>
      <c r="S119" s="2"/>
      <c r="T119" s="2"/>
      <c r="U119" s="2"/>
      <c r="V119" s="19">
        <f t="shared" si="106"/>
        <v>0</v>
      </c>
      <c r="W119" s="2"/>
      <c r="X119" s="2">
        <f t="shared" si="107"/>
        <v>3488.86</v>
      </c>
      <c r="Y119" s="2"/>
      <c r="Z119" s="19">
        <f t="shared" si="108"/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277</v>
      </c>
      <c r="C121" s="28"/>
      <c r="D121" s="21">
        <f>+D26-D28+D115</f>
        <v>-50865.850000000028</v>
      </c>
      <c r="E121" s="14"/>
      <c r="F121" s="20">
        <f>IF(D$12=0,0,D121/D$12)</f>
        <v>-0.69595912620244749</v>
      </c>
      <c r="G121" s="14"/>
      <c r="H121" s="21">
        <f>+H26-H28+H115</f>
        <v>-92046.432797391011</v>
      </c>
      <c r="I121" s="14"/>
      <c r="J121" s="20">
        <f>IF(H$12=0,0,H121/H$12)</f>
        <v>-5.9580835521646067</v>
      </c>
      <c r="K121" s="16"/>
      <c r="L121" s="21">
        <f>+D121-H121</f>
        <v>41180.582797390984</v>
      </c>
      <c r="M121" s="16"/>
      <c r="N121" s="20">
        <f>IF(H121=0,0,L121/H121)</f>
        <v>-0.44738923112898971</v>
      </c>
      <c r="O121" s="29"/>
      <c r="P121" s="21">
        <f>+P26-P28+P115</f>
        <v>-648496.28000000038</v>
      </c>
      <c r="Q121" s="14"/>
      <c r="R121" s="20">
        <f>IF(P$12=0,0,P121/P$12)</f>
        <v>-1.4202090134799312</v>
      </c>
      <c r="S121" s="14"/>
      <c r="T121" s="21">
        <f>+T26-T28+T115</f>
        <v>-901498.9287704262</v>
      </c>
      <c r="U121" s="14"/>
      <c r="V121" s="20">
        <f>IF(T$12=0,0,T121/T$12)</f>
        <v>-4.298993460993926</v>
      </c>
      <c r="W121" s="16"/>
      <c r="X121" s="21">
        <f>+P121-T121</f>
        <v>253002.64877042582</v>
      </c>
      <c r="Y121" s="16"/>
      <c r="Z121" s="20">
        <f>IF(T121=0,0,X121/T121)</f>
        <v>-0.28064664382408261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128</v>
      </c>
      <c r="C123" s="10"/>
      <c r="D123" s="4">
        <v>16483.939999999999</v>
      </c>
      <c r="E123" s="4"/>
      <c r="F123" s="12">
        <f>IF(D$12=0,0,D123/D$12)</f>
        <v>0.22553733946790561</v>
      </c>
      <c r="G123" s="4"/>
      <c r="H123" s="4">
        <v>3635</v>
      </c>
      <c r="I123" s="4"/>
      <c r="J123" s="12">
        <f>IF(H$12=0,0,H123/H$12)</f>
        <v>0.23529031005243059</v>
      </c>
      <c r="K123" s="4"/>
      <c r="L123" s="4">
        <f>+D123-H123</f>
        <v>12848.939999999999</v>
      </c>
      <c r="M123" s="4"/>
      <c r="N123" s="12">
        <f>IF(H123=0,0,L123/H123)</f>
        <v>3.5347840440165057</v>
      </c>
      <c r="O123" s="10"/>
      <c r="P123" s="4">
        <v>95526.82</v>
      </c>
      <c r="Q123" s="4"/>
      <c r="R123" s="12">
        <f>IF(P$12=0,0,P123/P$12)</f>
        <v>0.20920405402028658</v>
      </c>
      <c r="S123" s="4"/>
      <c r="T123" s="4">
        <v>37987</v>
      </c>
      <c r="U123" s="4"/>
      <c r="V123" s="12">
        <f>IF(T$12=0,0,T123/T$12)</f>
        <v>0.18114926084883168</v>
      </c>
      <c r="W123" s="4"/>
      <c r="X123" s="4">
        <f>+P123-T123</f>
        <v>57539.820000000007</v>
      </c>
      <c r="Y123" s="4"/>
      <c r="Z123" s="12">
        <f>IF(T123=0,0,X123/T123)</f>
        <v>1.5147239845210205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126</v>
      </c>
      <c r="C125" s="28"/>
      <c r="D125" s="31">
        <f>+D121-D123</f>
        <v>-67349.790000000023</v>
      </c>
      <c r="E125" s="14"/>
      <c r="F125" s="33">
        <f>IF(D$12=0,0,D125/D$12)</f>
        <v>-0.92149646567035304</v>
      </c>
      <c r="G125" s="14"/>
      <c r="H125" s="31">
        <f>+H121-H123</f>
        <v>-95681.432797391011</v>
      </c>
      <c r="I125" s="14"/>
      <c r="J125" s="33">
        <f>IF(H$12=0,0,H125/H$12)</f>
        <v>-6.1933738622170376</v>
      </c>
      <c r="K125" s="16"/>
      <c r="L125" s="31">
        <f>D125-H125</f>
        <v>28331.642797390989</v>
      </c>
      <c r="M125" s="16"/>
      <c r="N125" s="33">
        <f>IF(H125=0,0,L125/H125)</f>
        <v>-0.29610387270625738</v>
      </c>
      <c r="O125" s="29"/>
      <c r="P125" s="31">
        <f>+P121-P123</f>
        <v>-744023.10000000033</v>
      </c>
      <c r="Q125" s="14"/>
      <c r="R125" s="33">
        <f>IF(P$12=0,0,P125/P$12)</f>
        <v>-1.6294130675002176</v>
      </c>
      <c r="S125" s="14"/>
      <c r="T125" s="31">
        <f>+T121-T123</f>
        <v>-939485.9287704262</v>
      </c>
      <c r="U125" s="14"/>
      <c r="V125" s="33">
        <f>IF(T$12=0,0,T125/T$12)</f>
        <v>-4.480142721842757</v>
      </c>
      <c r="W125" s="16"/>
      <c r="X125" s="31">
        <f>P125-T125</f>
        <v>195462.82877042587</v>
      </c>
      <c r="Y125" s="16"/>
      <c r="Z125" s="33">
        <f>IF(T125=0,0,X125/T125)</f>
        <v>-0.20805296043788793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294</v>
      </c>
      <c r="C128" s="28"/>
      <c r="D128" s="34">
        <f>SUM(D125:D127)</f>
        <v>-67349.790000000023</v>
      </c>
      <c r="E128" s="14"/>
      <c r="F128" s="35">
        <f>IF(D$12=0,0,D128/D$12)</f>
        <v>-0.92149646567035304</v>
      </c>
      <c r="G128" s="14"/>
      <c r="H128" s="34">
        <f>SUM(H125:H127)</f>
        <v>-95681.432797391011</v>
      </c>
      <c r="I128" s="14"/>
      <c r="J128" s="35">
        <f>IF(H$12=0,0,H128/H$12)</f>
        <v>-6.1933738622170376</v>
      </c>
      <c r="K128" s="16"/>
      <c r="L128" s="34">
        <f>+D128-H128</f>
        <v>28331.642797390989</v>
      </c>
      <c r="M128" s="16"/>
      <c r="N128" s="35">
        <f>IF(H128=0,0,L128/H128)</f>
        <v>-0.29610387270625738</v>
      </c>
      <c r="O128" s="29"/>
      <c r="P128" s="34">
        <f>SUM(P125:P127)</f>
        <v>-744023.10000000033</v>
      </c>
      <c r="Q128" s="14"/>
      <c r="R128" s="35">
        <f>IF(P$12=0,0,P128/P$12)</f>
        <v>-1.6294130675002176</v>
      </c>
      <c r="S128" s="14"/>
      <c r="T128" s="34">
        <f>SUM(T125:T127)</f>
        <v>-939485.9287704262</v>
      </c>
      <c r="U128" s="14"/>
      <c r="V128" s="35">
        <f>IF(T$12=0,0,T128/T$12)</f>
        <v>-4.480142721842757</v>
      </c>
      <c r="W128" s="16"/>
      <c r="X128" s="34">
        <f>+P128-T128</f>
        <v>195462.82877042587</v>
      </c>
      <c r="Y128" s="16"/>
      <c r="Z128" s="35">
        <f>IF(T128=0,0,X128/T128)</f>
        <v>-0.20805296043788793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2">
        <v>44330.005814386575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6" t="s">
        <v>56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55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3"/>
  <sheetViews>
    <sheetView zoomScale="80" workbookViewId="0">
      <pane xSplit="3" ySplit="10" topLeftCell="D9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-2369.5500000000002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-2369.5500000000002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-2369.5500000000002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-2369.5500000000002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0</v>
      </c>
      <c r="I20" s="14"/>
      <c r="J20" s="20">
        <f>IF(H$12=0,0,H20/H$12)</f>
        <v>0</v>
      </c>
      <c r="K20" s="16"/>
      <c r="L20" s="21">
        <f>+D20-H20</f>
        <v>0</v>
      </c>
      <c r="M20" s="16"/>
      <c r="N20" s="20">
        <f>IF(H20=0,0,L20/H20)</f>
        <v>0</v>
      </c>
      <c r="O20" s="29"/>
      <c r="P20" s="21">
        <f>P12-P16</f>
        <v>2369.5500000000002</v>
      </c>
      <c r="Q20" s="14"/>
      <c r="R20" s="20">
        <f>IF(P$12=0,0,P20/P$12)</f>
        <v>0</v>
      </c>
      <c r="S20" s="14"/>
      <c r="T20" s="21">
        <f>T12-T16</f>
        <v>0</v>
      </c>
      <c r="U20" s="14"/>
      <c r="V20" s="20">
        <f>IF(T$12=0,0,T20/T$12)</f>
        <v>0</v>
      </c>
      <c r="W20" s="16"/>
      <c r="X20" s="21">
        <f>+P20-T20</f>
        <v>2369.5500000000002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2">
        <f>SUM(OSRRefD22x_0)</f>
        <v>7546.01</v>
      </c>
      <c r="E22" s="22"/>
      <c r="F22" s="32">
        <f t="shared" ref="F22:F31" si="14">IF(D$12=0,0,D22/D$12)</f>
        <v>0</v>
      </c>
      <c r="G22" s="22"/>
      <c r="H22" s="22">
        <f>SUM(OSRRefH22x_0)</f>
        <v>7384.333333333333</v>
      </c>
      <c r="I22" s="22"/>
      <c r="J22" s="32">
        <f t="shared" ref="J22:J31" si="15">IF(H$12=0,0,H22/H$12)</f>
        <v>0</v>
      </c>
      <c r="K22" s="4"/>
      <c r="L22" s="22">
        <f t="shared" ref="L22:L31" si="16">+D22-H22</f>
        <v>161.67666666666719</v>
      </c>
      <c r="M22" s="4"/>
      <c r="N22" s="32">
        <f t="shared" ref="N22:N31" si="17">IF(H22=0,0,L22/H22)</f>
        <v>2.1894551528009822E-2</v>
      </c>
      <c r="O22" s="10"/>
      <c r="P22" s="22">
        <f>SUM(OSRRefP22x_0)</f>
        <v>74384.429999999993</v>
      </c>
      <c r="Q22" s="22"/>
      <c r="R22" s="32">
        <f t="shared" ref="R22:R31" si="18">IF(P$12=0,0,P22/P$12)</f>
        <v>0</v>
      </c>
      <c r="S22" s="22"/>
      <c r="T22" s="22">
        <f>SUM(OSRRefT22x_0)</f>
        <v>74134.333333333328</v>
      </c>
      <c r="U22" s="22"/>
      <c r="V22" s="32">
        <f t="shared" ref="V22:V31" si="19">IF(T$12=0,0,T22/T$12)</f>
        <v>0</v>
      </c>
      <c r="W22" s="4"/>
      <c r="X22" s="22">
        <f t="shared" ref="X22:X31" si="20">+P22-T22</f>
        <v>250.09666666666453</v>
      </c>
      <c r="Y22" s="4"/>
      <c r="Z22" s="32">
        <f t="shared" ref="Z22:Z31" si="21">IF(T22=0,0,X22/T22)</f>
        <v>3.3735606084450013E-3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0.83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0.83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0.83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0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0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5233.01</v>
      </c>
      <c r="E47" s="1"/>
      <c r="F47" s="5">
        <f t="shared" si="30"/>
        <v>0</v>
      </c>
      <c r="G47" s="1"/>
      <c r="H47" s="1">
        <f>SUM(OSRRefH22_4x_0)</f>
        <v>5233</v>
      </c>
      <c r="I47" s="1"/>
      <c r="J47" s="5">
        <f t="shared" si="31"/>
        <v>0</v>
      </c>
      <c r="K47" s="1"/>
      <c r="L47" s="1">
        <f t="shared" si="32"/>
        <v>1.0000000000218279E-2</v>
      </c>
      <c r="M47" s="1"/>
      <c r="N47" s="5">
        <f t="shared" si="33"/>
        <v>1.910949742063497E-6</v>
      </c>
      <c r="O47" s="13"/>
      <c r="P47" s="1">
        <f>SUM(OSRRefP22_4x_0)</f>
        <v>52621.22</v>
      </c>
      <c r="Q47" s="1"/>
      <c r="R47" s="5">
        <f t="shared" si="34"/>
        <v>0</v>
      </c>
      <c r="S47" s="1"/>
      <c r="T47" s="1">
        <f>SUM(OSRRefT22_4x_0)</f>
        <v>52621</v>
      </c>
      <c r="U47" s="1"/>
      <c r="V47" s="5">
        <f t="shared" si="35"/>
        <v>0</v>
      </c>
      <c r="W47" s="1"/>
      <c r="X47" s="1">
        <f t="shared" si="36"/>
        <v>0.22000000000116415</v>
      </c>
      <c r="Y47" s="1"/>
      <c r="Z47" s="5">
        <f t="shared" si="37"/>
        <v>4.1808403489322539E-6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7">
        <v>4626.5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4626.5</v>
      </c>
      <c r="M48" s="2"/>
      <c r="N48" s="6">
        <f t="shared" si="33"/>
        <v>0</v>
      </c>
      <c r="O48" s="11"/>
      <c r="P48" s="7">
        <v>46265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46265</v>
      </c>
      <c r="Y48" s="2"/>
      <c r="Z48" s="6">
        <f t="shared" si="37"/>
        <v>0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606.51</v>
      </c>
      <c r="E49" s="2"/>
      <c r="F49" s="6">
        <f t="shared" si="30"/>
        <v>0</v>
      </c>
      <c r="G49" s="2"/>
      <c r="H49" s="7">
        <v>5233</v>
      </c>
      <c r="I49" s="2"/>
      <c r="J49" s="6">
        <f t="shared" si="31"/>
        <v>0</v>
      </c>
      <c r="K49" s="2"/>
      <c r="L49" s="7">
        <f t="shared" si="32"/>
        <v>-4626.49</v>
      </c>
      <c r="M49" s="2"/>
      <c r="N49" s="6">
        <f t="shared" si="33"/>
        <v>-0.88409898719663671</v>
      </c>
      <c r="O49" s="11"/>
      <c r="P49" s="7">
        <v>6356.22</v>
      </c>
      <c r="Q49" s="2"/>
      <c r="R49" s="6">
        <f t="shared" si="34"/>
        <v>0</v>
      </c>
      <c r="S49" s="2"/>
      <c r="T49" s="7">
        <v>52621</v>
      </c>
      <c r="U49" s="2"/>
      <c r="V49" s="6">
        <f t="shared" si="35"/>
        <v>0</v>
      </c>
      <c r="W49" s="2"/>
      <c r="X49" s="7">
        <f t="shared" si="36"/>
        <v>-46264.78</v>
      </c>
      <c r="Y49" s="2"/>
      <c r="Z49" s="6">
        <f t="shared" si="37"/>
        <v>-0.87920754071568386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60" si="38">IF(D$12=0,0,D50/D$12)</f>
        <v>0</v>
      </c>
      <c r="G50" s="1"/>
      <c r="H50" s="1">
        <f>SUM(OSRRefH22_5x_0)</f>
        <v>0</v>
      </c>
      <c r="I50" s="1"/>
      <c r="J50" s="5">
        <f t="shared" ref="J50:J60" si="39">IF(H$12=0,0,H50/H$12)</f>
        <v>0</v>
      </c>
      <c r="K50" s="1"/>
      <c r="L50" s="1">
        <f t="shared" ref="L50:L60" si="40">+D50-H50</f>
        <v>0</v>
      </c>
      <c r="M50" s="1"/>
      <c r="N50" s="5">
        <f t="shared" ref="N50:N60" si="41">IF(H50=0,0,L50/H50)</f>
        <v>0</v>
      </c>
      <c r="O50" s="13"/>
      <c r="P50" s="1">
        <f>SUM(OSRRefP22_5x_0)</f>
        <v>0</v>
      </c>
      <c r="Q50" s="1"/>
      <c r="R50" s="5">
        <f t="shared" ref="R50:R60" si="42">IF(P$12=0,0,P50/P$12)</f>
        <v>0</v>
      </c>
      <c r="S50" s="1"/>
      <c r="T50" s="1">
        <f>SUM(OSRRefT22_5x_0)</f>
        <v>0</v>
      </c>
      <c r="U50" s="1"/>
      <c r="V50" s="5">
        <f t="shared" ref="V50:V60" si="43">IF(T$12=0,0,T50/T$12)</f>
        <v>0</v>
      </c>
      <c r="W50" s="1"/>
      <c r="X50" s="1">
        <f t="shared" ref="X50:X60" si="44">+P50-T50</f>
        <v>0</v>
      </c>
      <c r="Y50" s="1"/>
      <c r="Z50" s="5">
        <f t="shared" ref="Z50:Z60" si="45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/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208.333333333333</v>
      </c>
      <c r="I52" s="1"/>
      <c r="J52" s="5">
        <f t="shared" si="39"/>
        <v>0</v>
      </c>
      <c r="K52" s="1"/>
      <c r="L52" s="1">
        <f t="shared" si="40"/>
        <v>-208.333333333333</v>
      </c>
      <c r="M52" s="1"/>
      <c r="N52" s="5">
        <f t="shared" si="41"/>
        <v>-1</v>
      </c>
      <c r="O52" s="13"/>
      <c r="P52" s="1">
        <f>SUM(OSRRefP22_6x_0)</f>
        <v>96.3</v>
      </c>
      <c r="Q52" s="1"/>
      <c r="R52" s="5">
        <f t="shared" si="42"/>
        <v>0</v>
      </c>
      <c r="S52" s="1"/>
      <c r="T52" s="1">
        <f>SUM(OSRRefT22_6x_0)</f>
        <v>2083.3333333333298</v>
      </c>
      <c r="U52" s="1"/>
      <c r="V52" s="5">
        <f t="shared" si="43"/>
        <v>0</v>
      </c>
      <c r="W52" s="1"/>
      <c r="X52" s="1">
        <f t="shared" si="44"/>
        <v>-1987.0333333333299</v>
      </c>
      <c r="Y52" s="1"/>
      <c r="Z52" s="5">
        <f t="shared" si="45"/>
        <v>-0.95377599999999996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>
        <v>208.333333333333</v>
      </c>
      <c r="I53" s="2"/>
      <c r="J53" s="6">
        <f t="shared" si="39"/>
        <v>0</v>
      </c>
      <c r="K53" s="2"/>
      <c r="L53" s="7">
        <f t="shared" si="40"/>
        <v>-208.333333333333</v>
      </c>
      <c r="M53" s="2"/>
      <c r="N53" s="6">
        <f t="shared" si="41"/>
        <v>-1</v>
      </c>
      <c r="O53" s="11"/>
      <c r="P53" s="7">
        <v>96.3</v>
      </c>
      <c r="Q53" s="2"/>
      <c r="R53" s="6">
        <f t="shared" si="42"/>
        <v>0</v>
      </c>
      <c r="S53" s="2"/>
      <c r="T53" s="7">
        <v>2083.3333333333298</v>
      </c>
      <c r="U53" s="2"/>
      <c r="V53" s="6">
        <f t="shared" si="43"/>
        <v>0</v>
      </c>
      <c r="W53" s="2"/>
      <c r="X53" s="7">
        <f t="shared" si="44"/>
        <v>-1987.0333333333299</v>
      </c>
      <c r="Y53" s="2"/>
      <c r="Z53" s="6">
        <f t="shared" si="45"/>
        <v>-0.95377599999999996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0</v>
      </c>
      <c r="Q54" s="1"/>
      <c r="R54" s="5">
        <f t="shared" si="42"/>
        <v>0</v>
      </c>
      <c r="S54" s="1"/>
      <c r="T54" s="1">
        <f>SUM(OSRRefT22_7x_0)</f>
        <v>0</v>
      </c>
      <c r="U54" s="1"/>
      <c r="V54" s="5">
        <f t="shared" si="43"/>
        <v>0</v>
      </c>
      <c r="W54" s="1"/>
      <c r="X54" s="1">
        <f t="shared" si="44"/>
        <v>0</v>
      </c>
      <c r="Y54" s="1"/>
      <c r="Z54" s="5">
        <f t="shared" si="45"/>
        <v>0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>
        <v>0</v>
      </c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0</v>
      </c>
      <c r="Q55" s="2"/>
      <c r="R55" s="6">
        <f t="shared" si="42"/>
        <v>0</v>
      </c>
      <c r="S55" s="2"/>
      <c r="T55" s="7">
        <v>0</v>
      </c>
      <c r="U55" s="2"/>
      <c r="V55" s="6">
        <f t="shared" si="43"/>
        <v>0</v>
      </c>
      <c r="W55" s="2"/>
      <c r="X55" s="7">
        <f t="shared" si="44"/>
        <v>0</v>
      </c>
      <c r="Y55" s="2"/>
      <c r="Z55" s="6">
        <f t="shared" si="45"/>
        <v>0</v>
      </c>
    </row>
    <row r="56" spans="1:26" s="25" customFormat="1" outlineLevel="1" collapsed="1" x14ac:dyDescent="0.25">
      <c r="A56" s="27"/>
      <c r="B56" s="13" t="str">
        <f>CONCATENATE("     ","Rent                                              ")</f>
        <v xml:space="preserve">     Rent                                              </v>
      </c>
      <c r="C56" s="13"/>
      <c r="D56" s="1">
        <f>SUM(OSRRefD22_8x_0)</f>
        <v>1850</v>
      </c>
      <c r="E56" s="1"/>
      <c r="F56" s="5">
        <f t="shared" si="38"/>
        <v>0</v>
      </c>
      <c r="G56" s="1"/>
      <c r="H56" s="1">
        <f>SUM(OSRRefH22_8x_0)</f>
        <v>1943</v>
      </c>
      <c r="I56" s="1"/>
      <c r="J56" s="5">
        <f t="shared" si="39"/>
        <v>0</v>
      </c>
      <c r="K56" s="1"/>
      <c r="L56" s="1">
        <f t="shared" si="40"/>
        <v>-93</v>
      </c>
      <c r="M56" s="1"/>
      <c r="N56" s="5">
        <f t="shared" si="41"/>
        <v>-4.7864127637673698E-2</v>
      </c>
      <c r="O56" s="13"/>
      <c r="P56" s="1">
        <f>SUM(OSRRefP22_8x_0)</f>
        <v>12950</v>
      </c>
      <c r="Q56" s="1"/>
      <c r="R56" s="5">
        <f t="shared" si="42"/>
        <v>0</v>
      </c>
      <c r="S56" s="1"/>
      <c r="T56" s="1">
        <f>SUM(OSRRefT22_8x_0)</f>
        <v>19430</v>
      </c>
      <c r="U56" s="1"/>
      <c r="V56" s="5">
        <f t="shared" si="43"/>
        <v>0</v>
      </c>
      <c r="W56" s="1"/>
      <c r="X56" s="1">
        <f t="shared" si="44"/>
        <v>-6480</v>
      </c>
      <c r="Y56" s="1"/>
      <c r="Z56" s="5">
        <f t="shared" si="45"/>
        <v>-0.33350488934637157</v>
      </c>
    </row>
    <row r="57" spans="1:26" s="24" customFormat="1" hidden="1" outlineLevel="2" x14ac:dyDescent="0.25">
      <c r="A57" s="26"/>
      <c r="B57" s="11" t="str">
        <f>CONCATENATE("          ", "6273", " - ", "RENT")</f>
        <v xml:space="preserve">          6273 - RENT</v>
      </c>
      <c r="C57" s="11"/>
      <c r="D57" s="7">
        <v>1850</v>
      </c>
      <c r="E57" s="2"/>
      <c r="F57" s="6">
        <f t="shared" si="38"/>
        <v>0</v>
      </c>
      <c r="G57" s="2"/>
      <c r="H57" s="7">
        <v>1943</v>
      </c>
      <c r="I57" s="2"/>
      <c r="J57" s="6">
        <f t="shared" si="39"/>
        <v>0</v>
      </c>
      <c r="K57" s="2"/>
      <c r="L57" s="7">
        <f t="shared" si="40"/>
        <v>-93</v>
      </c>
      <c r="M57" s="2"/>
      <c r="N57" s="6">
        <f t="shared" si="41"/>
        <v>-4.7864127637673698E-2</v>
      </c>
      <c r="O57" s="11"/>
      <c r="P57" s="7">
        <v>12950</v>
      </c>
      <c r="Q57" s="2"/>
      <c r="R57" s="6">
        <f t="shared" si="42"/>
        <v>0</v>
      </c>
      <c r="S57" s="2"/>
      <c r="T57" s="7">
        <v>19430</v>
      </c>
      <c r="U57" s="2"/>
      <c r="V57" s="6">
        <f t="shared" si="43"/>
        <v>0</v>
      </c>
      <c r="W57" s="2"/>
      <c r="X57" s="7">
        <f t="shared" si="44"/>
        <v>-6480</v>
      </c>
      <c r="Y57" s="2"/>
      <c r="Z57" s="6">
        <f t="shared" si="45"/>
        <v>-0.33350488934637157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0</v>
      </c>
      <c r="E58" s="1"/>
      <c r="F58" s="5">
        <f t="shared" si="38"/>
        <v>0</v>
      </c>
      <c r="G58" s="1"/>
      <c r="H58" s="1">
        <f>SUM(OSRRefH22_9x_0)</f>
        <v>0</v>
      </c>
      <c r="I58" s="1"/>
      <c r="J58" s="5">
        <f t="shared" si="39"/>
        <v>0</v>
      </c>
      <c r="K58" s="1"/>
      <c r="L58" s="1">
        <f t="shared" si="40"/>
        <v>0</v>
      </c>
      <c r="M58" s="1"/>
      <c r="N58" s="5">
        <f t="shared" si="41"/>
        <v>0</v>
      </c>
      <c r="O58" s="13"/>
      <c r="P58" s="1">
        <f>SUM(OSRRefP22_9x_0)</f>
        <v>6387.65</v>
      </c>
      <c r="Q58" s="1"/>
      <c r="R58" s="5">
        <f t="shared" si="42"/>
        <v>0</v>
      </c>
      <c r="S58" s="1"/>
      <c r="T58" s="1">
        <f>SUM(OSRRefT22_9x_0)</f>
        <v>0</v>
      </c>
      <c r="U58" s="1"/>
      <c r="V58" s="5">
        <f t="shared" si="43"/>
        <v>0</v>
      </c>
      <c r="W58" s="1"/>
      <c r="X58" s="1">
        <f t="shared" si="44"/>
        <v>6387.65</v>
      </c>
      <c r="Y58" s="1"/>
      <c r="Z58" s="5">
        <f t="shared" si="45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>
        <v>5845.65</v>
      </c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5845.65</v>
      </c>
      <c r="Y59" s="2"/>
      <c r="Z59" s="6">
        <f t="shared" si="45"/>
        <v>0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8"/>
        <v>0</v>
      </c>
      <c r="G60" s="2"/>
      <c r="H60" s="7">
        <v>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542</v>
      </c>
      <c r="Q60" s="2"/>
      <c r="R60" s="6">
        <f t="shared" si="42"/>
        <v>0</v>
      </c>
      <c r="S60" s="2"/>
      <c r="T60" s="7">
        <v>0</v>
      </c>
      <c r="U60" s="2"/>
      <c r="V60" s="6">
        <f t="shared" si="43"/>
        <v>0</v>
      </c>
      <c r="W60" s="2"/>
      <c r="X60" s="7">
        <f t="shared" si="44"/>
        <v>542</v>
      </c>
      <c r="Y60" s="2"/>
      <c r="Z60" s="6">
        <f t="shared" si="45"/>
        <v>0</v>
      </c>
    </row>
    <row r="61" spans="1:26" s="25" customFormat="1" outlineLevel="1" collapsed="1" x14ac:dyDescent="0.25">
      <c r="A61" s="27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0</v>
      </c>
      <c r="E61" s="1"/>
      <c r="F61" s="5">
        <f t="shared" ref="F61:F67" si="46">IF(D$12=0,0,D61/D$12)</f>
        <v>0</v>
      </c>
      <c r="G61" s="1"/>
      <c r="H61" s="1">
        <f>SUM(OSRRefH22_10x_0)</f>
        <v>0</v>
      </c>
      <c r="I61" s="1"/>
      <c r="J61" s="5">
        <f t="shared" ref="J61:J67" si="47">IF(H$12=0,0,H61/H$12)</f>
        <v>0</v>
      </c>
      <c r="K61" s="1"/>
      <c r="L61" s="1">
        <f t="shared" ref="L61:L67" si="48">+D61-H61</f>
        <v>0</v>
      </c>
      <c r="M61" s="1"/>
      <c r="N61" s="5">
        <f t="shared" ref="N61:N67" si="49">IF(H61=0,0,L61/H61)</f>
        <v>0</v>
      </c>
      <c r="O61" s="13"/>
      <c r="P61" s="1">
        <f>SUM(OSRRefP22_10x_0)</f>
        <v>0</v>
      </c>
      <c r="Q61" s="1"/>
      <c r="R61" s="5">
        <f t="shared" ref="R61:R67" si="50">IF(P$12=0,0,P61/P$12)</f>
        <v>0</v>
      </c>
      <c r="S61" s="1"/>
      <c r="T61" s="1">
        <f>SUM(OSRRefT22_10x_0)</f>
        <v>0</v>
      </c>
      <c r="U61" s="1"/>
      <c r="V61" s="5">
        <f t="shared" ref="V61:V67" si="51">IF(T$12=0,0,T61/T$12)</f>
        <v>0</v>
      </c>
      <c r="W61" s="1"/>
      <c r="X61" s="1">
        <f t="shared" ref="X61:X67" si="52">+P61-T61</f>
        <v>0</v>
      </c>
      <c r="Y61" s="1"/>
      <c r="Z61" s="5">
        <f t="shared" ref="Z61:Z67" si="53">IF(T61=0,0,X61/T61)</f>
        <v>0</v>
      </c>
    </row>
    <row r="62" spans="1:26" s="24" customFormat="1" hidden="1" outlineLevel="2" x14ac:dyDescent="0.25">
      <c r="A62" s="26"/>
      <c r="B62" s="11" t="str">
        <f>CONCATENATE("          ", "6259", " - ", "ROYALTY &amp; COMMISSIONS")</f>
        <v xml:space="preserve">          6259 - ROYALTY &amp; COMMISSIONS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115</v>
      </c>
      <c r="E63" s="1"/>
      <c r="F63" s="5">
        <f t="shared" si="46"/>
        <v>0</v>
      </c>
      <c r="G63" s="1"/>
      <c r="H63" s="1">
        <f>SUM(OSRRefH22_11x_0)</f>
        <v>0</v>
      </c>
      <c r="I63" s="1"/>
      <c r="J63" s="5">
        <f t="shared" si="47"/>
        <v>0</v>
      </c>
      <c r="K63" s="1"/>
      <c r="L63" s="1">
        <f t="shared" si="48"/>
        <v>115</v>
      </c>
      <c r="M63" s="1"/>
      <c r="N63" s="5">
        <f t="shared" si="49"/>
        <v>0</v>
      </c>
      <c r="O63" s="13"/>
      <c r="P63" s="1">
        <f>SUM(OSRRefP22_11x_0)</f>
        <v>577</v>
      </c>
      <c r="Q63" s="1"/>
      <c r="R63" s="5">
        <f t="shared" si="50"/>
        <v>0</v>
      </c>
      <c r="S63" s="1"/>
      <c r="T63" s="1">
        <f>SUM(OSRRefT22_11x_0)</f>
        <v>0</v>
      </c>
      <c r="U63" s="1"/>
      <c r="V63" s="5">
        <f t="shared" si="51"/>
        <v>0</v>
      </c>
      <c r="W63" s="1"/>
      <c r="X63" s="1">
        <f t="shared" si="52"/>
        <v>577</v>
      </c>
      <c r="Y63" s="1"/>
      <c r="Z63" s="5">
        <f t="shared" si="53"/>
        <v>0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7">
        <v>115</v>
      </c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115</v>
      </c>
      <c r="M65" s="2"/>
      <c r="N65" s="6">
        <f t="shared" si="49"/>
        <v>0</v>
      </c>
      <c r="O65" s="11"/>
      <c r="P65" s="7">
        <v>577</v>
      </c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577</v>
      </c>
      <c r="Y65" s="2"/>
      <c r="Z65" s="6">
        <f t="shared" si="53"/>
        <v>0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5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SUM(OSRRefD22_12x_0)</f>
        <v>0</v>
      </c>
      <c r="E68" s="1"/>
      <c r="F68" s="5">
        <f t="shared" ref="F68:F79" si="54">IF(D$12=0,0,D68/D$12)</f>
        <v>0</v>
      </c>
      <c r="G68" s="1"/>
      <c r="H68" s="1">
        <f>SUM(OSRRefH22_12x_0)</f>
        <v>0</v>
      </c>
      <c r="I68" s="1"/>
      <c r="J68" s="5">
        <f t="shared" ref="J68:J79" si="55">IF(H$12=0,0,H68/H$12)</f>
        <v>0</v>
      </c>
      <c r="K68" s="1"/>
      <c r="L68" s="1">
        <f t="shared" ref="L68:L79" si="56">+D68-H68</f>
        <v>0</v>
      </c>
      <c r="M68" s="1"/>
      <c r="N68" s="5">
        <f t="shared" ref="N68:N79" si="57">IF(H68=0,0,L68/H68)</f>
        <v>0</v>
      </c>
      <c r="O68" s="13"/>
      <c r="P68" s="1">
        <f>SUM(OSRRefP22_12x_0)</f>
        <v>0</v>
      </c>
      <c r="Q68" s="1"/>
      <c r="R68" s="5">
        <f t="shared" ref="R68:R79" si="58">IF(P$12=0,0,P68/P$12)</f>
        <v>0</v>
      </c>
      <c r="S68" s="1"/>
      <c r="T68" s="1">
        <f>SUM(OSRRefT22_12x_0)</f>
        <v>0</v>
      </c>
      <c r="U68" s="1"/>
      <c r="V68" s="5">
        <f t="shared" ref="V68:V79" si="59">IF(T$12=0,0,T68/T$12)</f>
        <v>0</v>
      </c>
      <c r="W68" s="1"/>
      <c r="X68" s="1">
        <f t="shared" ref="X68:X79" si="60">+P68-T68</f>
        <v>0</v>
      </c>
      <c r="Y68" s="1"/>
      <c r="Z68" s="5">
        <f t="shared" ref="Z68:Z79" si="61">IF(T68=0,0,X68/T68)</f>
        <v>0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7"/>
      <c r="E69" s="2"/>
      <c r="F69" s="6">
        <f t="shared" si="54"/>
        <v>0</v>
      </c>
      <c r="G69" s="2"/>
      <c r="H69" s="7">
        <v>0</v>
      </c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/>
      <c r="Q69" s="2"/>
      <c r="R69" s="6">
        <f t="shared" si="58"/>
        <v>0</v>
      </c>
      <c r="S69" s="2"/>
      <c r="T69" s="7">
        <v>0</v>
      </c>
      <c r="U69" s="2"/>
      <c r="V69" s="6">
        <f t="shared" si="59"/>
        <v>0</v>
      </c>
      <c r="W69" s="2"/>
      <c r="X69" s="7">
        <f t="shared" si="60"/>
        <v>0</v>
      </c>
      <c r="Y69" s="2"/>
      <c r="Z69" s="6">
        <f t="shared" si="61"/>
        <v>0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SUM(OSRRefD22_13x_0)</f>
        <v>0</v>
      </c>
      <c r="E70" s="1"/>
      <c r="F70" s="5">
        <f t="shared" si="54"/>
        <v>0</v>
      </c>
      <c r="G70" s="1"/>
      <c r="H70" s="1">
        <f>SUM(OSRRefH22_13x_0)</f>
        <v>0</v>
      </c>
      <c r="I70" s="1"/>
      <c r="J70" s="5">
        <f t="shared" si="55"/>
        <v>0</v>
      </c>
      <c r="K70" s="1"/>
      <c r="L70" s="1">
        <f t="shared" si="56"/>
        <v>0</v>
      </c>
      <c r="M70" s="1"/>
      <c r="N70" s="5">
        <f t="shared" si="57"/>
        <v>0</v>
      </c>
      <c r="O70" s="13"/>
      <c r="P70" s="1">
        <f>SUM(OSRRefP22_13x_0)</f>
        <v>72</v>
      </c>
      <c r="Q70" s="1"/>
      <c r="R70" s="5">
        <f t="shared" si="58"/>
        <v>0</v>
      </c>
      <c r="S70" s="1"/>
      <c r="T70" s="1">
        <f>SUM(OSRRefT22_13x_0)</f>
        <v>0</v>
      </c>
      <c r="U70" s="1"/>
      <c r="V70" s="5">
        <f t="shared" si="59"/>
        <v>0</v>
      </c>
      <c r="W70" s="1"/>
      <c r="X70" s="1">
        <f t="shared" si="60"/>
        <v>72</v>
      </c>
      <c r="Y70" s="1"/>
      <c r="Z70" s="5">
        <f t="shared" si="61"/>
        <v>0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0</v>
      </c>
      <c r="Y71" s="2"/>
      <c r="Z71" s="6">
        <f t="shared" si="61"/>
        <v>0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>
        <v>72</v>
      </c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72</v>
      </c>
      <c r="Y72" s="2"/>
      <c r="Z72" s="6">
        <f t="shared" si="61"/>
        <v>0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54"/>
        <v>0</v>
      </c>
      <c r="G76" s="2"/>
      <c r="H76" s="7">
        <v>0</v>
      </c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4" customFormat="1" hidden="1" outlineLevel="2" x14ac:dyDescent="0.25">
      <c r="A77" s="26"/>
      <c r="B77" s="11" t="str">
        <f>CONCATENATE("          ", "6246", " - ", "REPLACEMENTS")</f>
        <v xml:space="preserve">          6246 - REPLACEMENTS</v>
      </c>
      <c r="C77" s="11"/>
      <c r="D77" s="7"/>
      <c r="E77" s="2"/>
      <c r="F77" s="6">
        <f t="shared" si="54"/>
        <v>0</v>
      </c>
      <c r="G77" s="2"/>
      <c r="H77" s="7">
        <v>0</v>
      </c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/>
      <c r="Q77" s="2"/>
      <c r="R77" s="6">
        <f t="shared" si="58"/>
        <v>0</v>
      </c>
      <c r="S77" s="2"/>
      <c r="T77" s="7">
        <v>0</v>
      </c>
      <c r="U77" s="2"/>
      <c r="V77" s="6">
        <f t="shared" si="59"/>
        <v>0</v>
      </c>
      <c r="W77" s="2"/>
      <c r="X77" s="7">
        <f t="shared" si="60"/>
        <v>0</v>
      </c>
      <c r="Y77" s="2"/>
      <c r="Z77" s="6">
        <f t="shared" si="61"/>
        <v>0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54"/>
        <v>0</v>
      </c>
      <c r="G78" s="2"/>
      <c r="H78" s="7">
        <v>0</v>
      </c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0</v>
      </c>
      <c r="U78" s="2"/>
      <c r="V78" s="6">
        <f t="shared" si="59"/>
        <v>0</v>
      </c>
      <c r="W78" s="2"/>
      <c r="X78" s="7">
        <f t="shared" si="60"/>
        <v>0</v>
      </c>
      <c r="Y78" s="2"/>
      <c r="Z78" s="6">
        <f t="shared" si="61"/>
        <v>0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0</v>
      </c>
      <c r="U79" s="2"/>
      <c r="V79" s="6">
        <f t="shared" si="59"/>
        <v>0</v>
      </c>
      <c r="W79" s="2"/>
      <c r="X79" s="7">
        <f t="shared" si="60"/>
        <v>0</v>
      </c>
      <c r="Y79" s="2"/>
      <c r="Z79" s="6">
        <f t="shared" si="61"/>
        <v>0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SUM(OSRRefD22_14x_0)</f>
        <v>0</v>
      </c>
      <c r="E80" s="1"/>
      <c r="F80" s="5">
        <f t="shared" ref="F80:F87" si="62">IF(D$12=0,0,D80/D$12)</f>
        <v>0</v>
      </c>
      <c r="G80" s="1"/>
      <c r="H80" s="1">
        <f>SUM(OSRRefH22_14x_0)</f>
        <v>0</v>
      </c>
      <c r="I80" s="1"/>
      <c r="J80" s="5">
        <f t="shared" ref="J80:J87" si="63">IF(H$12=0,0,H80/H$12)</f>
        <v>0</v>
      </c>
      <c r="K80" s="1"/>
      <c r="L80" s="1">
        <f t="shared" ref="L80:L87" si="64">+D80-H80</f>
        <v>0</v>
      </c>
      <c r="M80" s="1"/>
      <c r="N80" s="5">
        <f t="shared" ref="N80:N87" si="65">IF(H80=0,0,L80/H80)</f>
        <v>0</v>
      </c>
      <c r="O80" s="13"/>
      <c r="P80" s="1">
        <f>SUM(OSRRefP22_14x_0)</f>
        <v>77.430000000000007</v>
      </c>
      <c r="Q80" s="1"/>
      <c r="R80" s="5">
        <f t="shared" ref="R80:R87" si="66">IF(P$12=0,0,P80/P$12)</f>
        <v>0</v>
      </c>
      <c r="S80" s="1"/>
      <c r="T80" s="1">
        <f>SUM(OSRRefT22_14x_0)</f>
        <v>0</v>
      </c>
      <c r="U80" s="1"/>
      <c r="V80" s="5">
        <f t="shared" ref="V80:V87" si="67">IF(T$12=0,0,T80/T$12)</f>
        <v>0</v>
      </c>
      <c r="W80" s="1"/>
      <c r="X80" s="1">
        <f t="shared" ref="X80:X87" si="68">+P80-T80</f>
        <v>77.430000000000007</v>
      </c>
      <c r="Y80" s="1"/>
      <c r="Z80" s="5">
        <f t="shared" ref="Z80:Z87" si="69">IF(T80=0,0,X80/T80)</f>
        <v>0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7"/>
      <c r="E81" s="2"/>
      <c r="F81" s="6">
        <f t="shared" si="62"/>
        <v>0</v>
      </c>
      <c r="G81" s="2"/>
      <c r="H81" s="7">
        <v>0</v>
      </c>
      <c r="I81" s="2"/>
      <c r="J81" s="6">
        <f t="shared" si="63"/>
        <v>0</v>
      </c>
      <c r="K81" s="2"/>
      <c r="L81" s="7">
        <f t="shared" si="64"/>
        <v>0</v>
      </c>
      <c r="M81" s="2"/>
      <c r="N81" s="6">
        <f t="shared" si="65"/>
        <v>0</v>
      </c>
      <c r="O81" s="11"/>
      <c r="P81" s="7">
        <v>77.430000000000007</v>
      </c>
      <c r="Q81" s="2"/>
      <c r="R81" s="6">
        <f t="shared" si="66"/>
        <v>0</v>
      </c>
      <c r="S81" s="2"/>
      <c r="T81" s="7">
        <v>0</v>
      </c>
      <c r="U81" s="2"/>
      <c r="V81" s="6">
        <f t="shared" si="67"/>
        <v>0</v>
      </c>
      <c r="W81" s="2"/>
      <c r="X81" s="7">
        <f t="shared" si="68"/>
        <v>77.430000000000007</v>
      </c>
      <c r="Y81" s="2"/>
      <c r="Z81" s="6">
        <f t="shared" si="69"/>
        <v>0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SUM(OSRRefD22_15x_0)</f>
        <v>0</v>
      </c>
      <c r="E82" s="1"/>
      <c r="F82" s="5">
        <f t="shared" si="62"/>
        <v>0</v>
      </c>
      <c r="G82" s="1"/>
      <c r="H82" s="1">
        <f>SUM(OSRRefH22_15x_0)</f>
        <v>0</v>
      </c>
      <c r="I82" s="1"/>
      <c r="J82" s="5">
        <f t="shared" si="63"/>
        <v>0</v>
      </c>
      <c r="K82" s="1"/>
      <c r="L82" s="1">
        <f t="shared" si="64"/>
        <v>0</v>
      </c>
      <c r="M82" s="1"/>
      <c r="N82" s="5">
        <f t="shared" si="65"/>
        <v>0</v>
      </c>
      <c r="O82" s="13"/>
      <c r="P82" s="1">
        <f>SUM(OSRRefP22_15x_0)</f>
        <v>0</v>
      </c>
      <c r="Q82" s="1"/>
      <c r="R82" s="5">
        <f t="shared" si="66"/>
        <v>0</v>
      </c>
      <c r="S82" s="1"/>
      <c r="T82" s="1">
        <f>SUM(OSRRefT22_15x_0)</f>
        <v>0</v>
      </c>
      <c r="U82" s="1"/>
      <c r="V82" s="5">
        <f t="shared" si="67"/>
        <v>0</v>
      </c>
      <c r="W82" s="1"/>
      <c r="X82" s="1">
        <f t="shared" si="68"/>
        <v>0</v>
      </c>
      <c r="Y82" s="1"/>
      <c r="Z82" s="5">
        <f t="shared" si="69"/>
        <v>0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62"/>
        <v>0</v>
      </c>
      <c r="G83" s="2"/>
      <c r="H83" s="7"/>
      <c r="I83" s="2"/>
      <c r="J83" s="6">
        <f t="shared" si="63"/>
        <v>0</v>
      </c>
      <c r="K83" s="2"/>
      <c r="L83" s="7">
        <f t="shared" si="64"/>
        <v>0</v>
      </c>
      <c r="M83" s="2"/>
      <c r="N83" s="6">
        <f t="shared" si="65"/>
        <v>0</v>
      </c>
      <c r="O83" s="11"/>
      <c r="P83" s="7"/>
      <c r="Q83" s="2"/>
      <c r="R83" s="6">
        <f t="shared" si="66"/>
        <v>0</v>
      </c>
      <c r="S83" s="2"/>
      <c r="T83" s="7">
        <v>0</v>
      </c>
      <c r="U83" s="2"/>
      <c r="V83" s="6">
        <f t="shared" si="67"/>
        <v>0</v>
      </c>
      <c r="W83" s="2"/>
      <c r="X83" s="7">
        <f t="shared" si="68"/>
        <v>0</v>
      </c>
      <c r="Y83" s="2"/>
      <c r="Z83" s="6">
        <f t="shared" si="69"/>
        <v>0</v>
      </c>
    </row>
    <row r="84" spans="1:26" s="25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SUM(OSRRefD22_16x_0)</f>
        <v>0</v>
      </c>
      <c r="E84" s="1"/>
      <c r="F84" s="5">
        <f t="shared" si="62"/>
        <v>0</v>
      </c>
      <c r="G84" s="1"/>
      <c r="H84" s="1">
        <f>SUM(OSRRefH22_16x_0)</f>
        <v>0</v>
      </c>
      <c r="I84" s="1"/>
      <c r="J84" s="5">
        <f t="shared" si="63"/>
        <v>0</v>
      </c>
      <c r="K84" s="1"/>
      <c r="L84" s="1">
        <f t="shared" si="64"/>
        <v>0</v>
      </c>
      <c r="M84" s="1"/>
      <c r="N84" s="5">
        <f t="shared" si="65"/>
        <v>0</v>
      </c>
      <c r="O84" s="13"/>
      <c r="P84" s="1">
        <f>SUM(OSRRefP22_16x_0)</f>
        <v>0</v>
      </c>
      <c r="Q84" s="1"/>
      <c r="R84" s="5">
        <f t="shared" si="66"/>
        <v>0</v>
      </c>
      <c r="S84" s="1"/>
      <c r="T84" s="1">
        <f>SUM(OSRRefT22_16x_0)</f>
        <v>0</v>
      </c>
      <c r="U84" s="1"/>
      <c r="V84" s="5">
        <f t="shared" si="67"/>
        <v>0</v>
      </c>
      <c r="W84" s="1"/>
      <c r="X84" s="1">
        <f t="shared" si="68"/>
        <v>0</v>
      </c>
      <c r="Y84" s="1"/>
      <c r="Z84" s="5">
        <f t="shared" si="69"/>
        <v>0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62"/>
        <v>0</v>
      </c>
      <c r="G85" s="2"/>
      <c r="H85" s="7"/>
      <c r="I85" s="2"/>
      <c r="J85" s="6">
        <f t="shared" si="63"/>
        <v>0</v>
      </c>
      <c r="K85" s="2"/>
      <c r="L85" s="7">
        <f t="shared" si="64"/>
        <v>0</v>
      </c>
      <c r="M85" s="2"/>
      <c r="N85" s="6">
        <f t="shared" si="65"/>
        <v>0</v>
      </c>
      <c r="O85" s="11"/>
      <c r="P85" s="7"/>
      <c r="Q85" s="2"/>
      <c r="R85" s="6">
        <f t="shared" si="66"/>
        <v>0</v>
      </c>
      <c r="S85" s="2"/>
      <c r="T85" s="7">
        <v>0</v>
      </c>
      <c r="U85" s="2"/>
      <c r="V85" s="6">
        <f t="shared" si="67"/>
        <v>0</v>
      </c>
      <c r="W85" s="2"/>
      <c r="X85" s="7">
        <f t="shared" si="68"/>
        <v>0</v>
      </c>
      <c r="Y85" s="2"/>
      <c r="Z85" s="6">
        <f t="shared" si="69"/>
        <v>0</v>
      </c>
    </row>
    <row r="86" spans="1:26" s="25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SUM(OSRRefD22_17x_0)</f>
        <v>348</v>
      </c>
      <c r="E86" s="1"/>
      <c r="F86" s="5">
        <f t="shared" si="62"/>
        <v>0</v>
      </c>
      <c r="G86" s="1"/>
      <c r="H86" s="1">
        <f>SUM(OSRRefH22_17x_0)</f>
        <v>0</v>
      </c>
      <c r="I86" s="1"/>
      <c r="J86" s="5">
        <f t="shared" si="63"/>
        <v>0</v>
      </c>
      <c r="K86" s="1"/>
      <c r="L86" s="1">
        <f t="shared" si="64"/>
        <v>348</v>
      </c>
      <c r="M86" s="1"/>
      <c r="N86" s="5">
        <f t="shared" si="65"/>
        <v>0</v>
      </c>
      <c r="O86" s="13"/>
      <c r="P86" s="1">
        <f>SUM(OSRRefP22_17x_0)</f>
        <v>1602</v>
      </c>
      <c r="Q86" s="1"/>
      <c r="R86" s="5">
        <f t="shared" si="66"/>
        <v>0</v>
      </c>
      <c r="S86" s="1"/>
      <c r="T86" s="1">
        <f>SUM(OSRRefT22_17x_0)</f>
        <v>0</v>
      </c>
      <c r="U86" s="1"/>
      <c r="V86" s="5">
        <f t="shared" si="67"/>
        <v>0</v>
      </c>
      <c r="W86" s="1"/>
      <c r="X86" s="1">
        <f t="shared" si="68"/>
        <v>1602</v>
      </c>
      <c r="Y86" s="1"/>
      <c r="Z86" s="5">
        <f t="shared" si="69"/>
        <v>0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7">
        <v>348</v>
      </c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348</v>
      </c>
      <c r="M87" s="2"/>
      <c r="N87" s="6">
        <f t="shared" si="65"/>
        <v>0</v>
      </c>
      <c r="O87" s="11"/>
      <c r="P87" s="7">
        <v>1602</v>
      </c>
      <c r="Q87" s="2"/>
      <c r="R87" s="6">
        <f t="shared" si="66"/>
        <v>0</v>
      </c>
      <c r="S87" s="2"/>
      <c r="T87" s="7">
        <v>0</v>
      </c>
      <c r="U87" s="2"/>
      <c r="V87" s="6">
        <f t="shared" si="67"/>
        <v>0</v>
      </c>
      <c r="W87" s="2"/>
      <c r="X87" s="7">
        <f t="shared" si="68"/>
        <v>1602</v>
      </c>
      <c r="Y87" s="2"/>
      <c r="Z87" s="6">
        <f t="shared" si="69"/>
        <v>0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277</v>
      </c>
      <c r="C91" s="28"/>
      <c r="D91" s="21">
        <f>+D20-D22+D89</f>
        <v>-7546.01</v>
      </c>
      <c r="E91" s="14"/>
      <c r="F91" s="20">
        <f>IF(D$12=0,0,D91/D$12)</f>
        <v>0</v>
      </c>
      <c r="G91" s="14"/>
      <c r="H91" s="21">
        <f>+H20-H22+H89</f>
        <v>-7384.333333333333</v>
      </c>
      <c r="I91" s="14"/>
      <c r="J91" s="20">
        <f>IF(H$12=0,0,H91/H$12)</f>
        <v>0</v>
      </c>
      <c r="K91" s="16"/>
      <c r="L91" s="21">
        <f>+D91-H91</f>
        <v>-161.67666666666719</v>
      </c>
      <c r="M91" s="16"/>
      <c r="N91" s="20">
        <f>IF(H91=0,0,L91/H91)</f>
        <v>2.1894551528009822E-2</v>
      </c>
      <c r="O91" s="29"/>
      <c r="P91" s="21">
        <f>+P20-P22+P89</f>
        <v>-72014.87999999999</v>
      </c>
      <c r="Q91" s="14"/>
      <c r="R91" s="20">
        <f>IF(P$12=0,0,P91/P$12)</f>
        <v>0</v>
      </c>
      <c r="S91" s="14"/>
      <c r="T91" s="21">
        <f>+T20-T22+T89</f>
        <v>-74134.333333333328</v>
      </c>
      <c r="U91" s="14"/>
      <c r="V91" s="20">
        <f>IF(T$12=0,0,T91/T$12)</f>
        <v>0</v>
      </c>
      <c r="W91" s="16"/>
      <c r="X91" s="21">
        <f>+P91-T91</f>
        <v>2119.4533333333384</v>
      </c>
      <c r="Y91" s="16"/>
      <c r="Z91" s="20">
        <f>IF(T91=0,0,X91/T91)</f>
        <v>-2.8589362553562748E-2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126</v>
      </c>
      <c r="C95" s="28"/>
      <c r="D95" s="31">
        <f>+D91-D93</f>
        <v>-7546.01</v>
      </c>
      <c r="E95" s="14"/>
      <c r="F95" s="33">
        <f>IF(D$12=0,0,D95/D$12)</f>
        <v>0</v>
      </c>
      <c r="G95" s="14"/>
      <c r="H95" s="31">
        <f>+H91-H93</f>
        <v>-7384.333333333333</v>
      </c>
      <c r="I95" s="14"/>
      <c r="J95" s="33">
        <f>IF(H$12=0,0,H95/H$12)</f>
        <v>0</v>
      </c>
      <c r="K95" s="16"/>
      <c r="L95" s="31">
        <f>D95-H95</f>
        <v>-161.67666666666719</v>
      </c>
      <c r="M95" s="16"/>
      <c r="N95" s="33">
        <f>IF(H95=0,0,L95/H95)</f>
        <v>2.1894551528009822E-2</v>
      </c>
      <c r="O95" s="29"/>
      <c r="P95" s="31">
        <f>+P91-P93</f>
        <v>-72014.87999999999</v>
      </c>
      <c r="Q95" s="14"/>
      <c r="R95" s="33">
        <f>IF(P$12=0,0,P95/P$12)</f>
        <v>0</v>
      </c>
      <c r="S95" s="14"/>
      <c r="T95" s="31">
        <f>+T91-T93</f>
        <v>-74134.333333333328</v>
      </c>
      <c r="U95" s="14"/>
      <c r="V95" s="33">
        <f>IF(T$12=0,0,T95/T$12)</f>
        <v>0</v>
      </c>
      <c r="W95" s="16"/>
      <c r="X95" s="31">
        <f>P95-T95</f>
        <v>2119.4533333333384</v>
      </c>
      <c r="Y95" s="16"/>
      <c r="Z95" s="33">
        <f>IF(T95=0,0,X95/T95)</f>
        <v>-2.8589362553562748E-2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294</v>
      </c>
      <c r="C98" s="28"/>
      <c r="D98" s="34">
        <f>SUM(D95:D97)</f>
        <v>-7546.01</v>
      </c>
      <c r="E98" s="14"/>
      <c r="F98" s="35">
        <f>IF(D$12=0,0,D98/D$12)</f>
        <v>0</v>
      </c>
      <c r="G98" s="14"/>
      <c r="H98" s="34">
        <f>SUM(H95:H97)</f>
        <v>-7384.333333333333</v>
      </c>
      <c r="I98" s="14"/>
      <c r="J98" s="35">
        <f>IF(H$12=0,0,H98/H$12)</f>
        <v>0</v>
      </c>
      <c r="K98" s="16"/>
      <c r="L98" s="34">
        <f>+D98-H98</f>
        <v>-161.67666666666719</v>
      </c>
      <c r="M98" s="16"/>
      <c r="N98" s="35">
        <f>IF(H98=0,0,L98/H98)</f>
        <v>2.1894551528009822E-2</v>
      </c>
      <c r="O98" s="29"/>
      <c r="P98" s="34">
        <f>SUM(P95:P97)</f>
        <v>-72014.87999999999</v>
      </c>
      <c r="Q98" s="14"/>
      <c r="R98" s="35">
        <f>IF(P$12=0,0,P98/P$12)</f>
        <v>0</v>
      </c>
      <c r="S98" s="14"/>
      <c r="T98" s="34">
        <f>SUM(T95:T97)</f>
        <v>-74134.333333333328</v>
      </c>
      <c r="U98" s="14"/>
      <c r="V98" s="35">
        <f>IF(T$12=0,0,T98/T$12)</f>
        <v>0</v>
      </c>
      <c r="W98" s="16"/>
      <c r="X98" s="34">
        <f>+P98-T98</f>
        <v>2119.4533333333384</v>
      </c>
      <c r="Y98" s="16"/>
      <c r="Z98" s="35">
        <f>IF(T98=0,0,X98/T98)</f>
        <v>-2.8589362553562748E-2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62">
        <v>44330.0058283912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 t="s">
        <v>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5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119.55</v>
      </c>
      <c r="E18" s="22"/>
      <c r="F18" s="32">
        <f t="shared" ref="F18:F28" si="0">IF(D$12=0,0,D18/D$12)</f>
        <v>0</v>
      </c>
      <c r="G18" s="22"/>
      <c r="H18" s="22">
        <f>SUM(OSRRefH22x_0)</f>
        <v>435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-315.45</v>
      </c>
      <c r="M18" s="4"/>
      <c r="N18" s="32">
        <f t="shared" ref="N18:N28" si="3">IF(H18=0,0,L18/H18)</f>
        <v>-0.72517241379310338</v>
      </c>
      <c r="O18" s="10"/>
      <c r="P18" s="22">
        <f>SUM(OSRRefP22x_0)</f>
        <v>2291.9899999999998</v>
      </c>
      <c r="Q18" s="22"/>
      <c r="R18" s="32">
        <f t="shared" ref="R18:R28" si="4">IF(P$12=0,0,P18/P$12)</f>
        <v>0</v>
      </c>
      <c r="S18" s="22"/>
      <c r="T18" s="22">
        <f>SUM(OSRRefT22x_0)</f>
        <v>4350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-2058.0100000000002</v>
      </c>
      <c r="Y18" s="4"/>
      <c r="Z18" s="32">
        <f t="shared" ref="Z18:Z28" si="7">IF(T18=0,0,X18/T18)</f>
        <v>-0.47310574712643683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5" customFormat="1" outlineLevel="1" collapsed="1" x14ac:dyDescent="0.25">
      <c r="A21" s="27"/>
      <c r="B21" s="13" t="str">
        <f>CONCATENATE("     ","Depreciation                                      ")</f>
        <v xml:space="preserve">     Depreciation                                      </v>
      </c>
      <c r="C21" s="13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3"/>
      <c r="P21" s="1">
        <f>SUM(OSRRefP22_1x_0)</f>
        <v>1195.5</v>
      </c>
      <c r="Q21" s="1"/>
      <c r="R21" s="5">
        <f t="shared" si="4"/>
        <v>0</v>
      </c>
      <c r="S21" s="1"/>
      <c r="T21" s="1">
        <f>SUM(OSRRefT22_1x_0)</f>
        <v>4350</v>
      </c>
      <c r="U21" s="1"/>
      <c r="V21" s="5">
        <f t="shared" si="5"/>
        <v>0</v>
      </c>
      <c r="W21" s="1"/>
      <c r="X21" s="1">
        <f t="shared" si="6"/>
        <v>-3154.5</v>
      </c>
      <c r="Y21" s="1"/>
      <c r="Z21" s="5">
        <f t="shared" si="7"/>
        <v>-0.72517241379310349</v>
      </c>
    </row>
    <row r="22" spans="1:26" s="24" customFormat="1" hidden="1" outlineLevel="2" x14ac:dyDescent="0.25">
      <c r="A22" s="26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1195.5</v>
      </c>
      <c r="Q22" s="2"/>
      <c r="R22" s="6">
        <f t="shared" si="4"/>
        <v>0</v>
      </c>
      <c r="S22" s="2"/>
      <c r="T22" s="7">
        <v>4350</v>
      </c>
      <c r="U22" s="2"/>
      <c r="V22" s="6">
        <f t="shared" si="5"/>
        <v>0</v>
      </c>
      <c r="W22" s="2"/>
      <c r="X22" s="7">
        <f t="shared" si="6"/>
        <v>-3154.5</v>
      </c>
      <c r="Y22" s="2"/>
      <c r="Z22" s="6">
        <f t="shared" si="7"/>
        <v>-0.72517241379310349</v>
      </c>
    </row>
    <row r="23" spans="1:26" s="25" customFormat="1" outlineLevel="1" collapsed="1" x14ac:dyDescent="0.25">
      <c r="A23" s="27"/>
      <c r="B23" s="13" t="str">
        <f>CONCATENATE("     ","Equipment Rental                                  ")</f>
        <v xml:space="preserve">     Equipment Rental      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6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5" customFormat="1" outlineLevel="1" collapsed="1" x14ac:dyDescent="0.25">
      <c r="A25" s="27"/>
      <c r="B25" s="13" t="str">
        <f>CONCATENATE("     ","Repair and Maintenance                            ")</f>
        <v xml:space="preserve">     Repair and Maintenance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286.47000000000003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286.47000000000003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286.47000000000003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286.47000000000003</v>
      </c>
      <c r="Y26" s="2"/>
      <c r="Z26" s="6">
        <f t="shared" si="7"/>
        <v>0</v>
      </c>
    </row>
    <row r="27" spans="1:26" s="25" customFormat="1" outlineLevel="1" collapsed="1" x14ac:dyDescent="0.25">
      <c r="A27" s="27"/>
      <c r="B27" s="13" t="str">
        <f>CONCATENATE("     ","Telephone/Data Lines                              ")</f>
        <v xml:space="preserve">     Telephone/Data Lines 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6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61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293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277</v>
      </c>
      <c r="C32" s="28"/>
      <c r="D32" s="21">
        <f>+D16-D18+D30</f>
        <v>-119.55</v>
      </c>
      <c r="E32" s="14"/>
      <c r="F32" s="20">
        <f>IF(D$12=0,0,D32/D$12)</f>
        <v>0</v>
      </c>
      <c r="G32" s="14"/>
      <c r="H32" s="21">
        <f>+H16-H18+H30</f>
        <v>-435</v>
      </c>
      <c r="I32" s="14"/>
      <c r="J32" s="20">
        <f>IF(H$12=0,0,H32/H$12)</f>
        <v>0</v>
      </c>
      <c r="K32" s="16"/>
      <c r="L32" s="21">
        <f>+D32-H32</f>
        <v>315.45</v>
      </c>
      <c r="M32" s="16"/>
      <c r="N32" s="20">
        <f>IF(H32=0,0,L32/H32)</f>
        <v>-0.72517241379310338</v>
      </c>
      <c r="O32" s="29"/>
      <c r="P32" s="21">
        <f>+P16-P18+P30</f>
        <v>-2291.9899999999998</v>
      </c>
      <c r="Q32" s="14"/>
      <c r="R32" s="20">
        <f>IF(P$12=0,0,P32/P$12)</f>
        <v>0</v>
      </c>
      <c r="S32" s="14"/>
      <c r="T32" s="21">
        <f>+T16-T18+T30</f>
        <v>-4350</v>
      </c>
      <c r="U32" s="14"/>
      <c r="V32" s="20">
        <f>IF(T$12=0,0,T32/T$12)</f>
        <v>0</v>
      </c>
      <c r="W32" s="16"/>
      <c r="X32" s="21">
        <f>+P32-T32</f>
        <v>2058.0100000000002</v>
      </c>
      <c r="Y32" s="16"/>
      <c r="Z32" s="20">
        <f>IF(T32=0,0,X32/T32)</f>
        <v>-0.47310574712643683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128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126</v>
      </c>
      <c r="C36" s="28"/>
      <c r="D36" s="31">
        <f>+D32-D34</f>
        <v>-119.55</v>
      </c>
      <c r="E36" s="14"/>
      <c r="F36" s="33">
        <f>IF(D$12=0,0,D36/D$12)</f>
        <v>0</v>
      </c>
      <c r="G36" s="14"/>
      <c r="H36" s="31">
        <f>+H32-H34</f>
        <v>-435</v>
      </c>
      <c r="I36" s="14"/>
      <c r="J36" s="33">
        <f>IF(H$12=0,0,H36/H$12)</f>
        <v>0</v>
      </c>
      <c r="K36" s="16"/>
      <c r="L36" s="31">
        <f>D36-H36</f>
        <v>315.45</v>
      </c>
      <c r="M36" s="16"/>
      <c r="N36" s="33">
        <f>IF(H36=0,0,L36/H36)</f>
        <v>-0.72517241379310338</v>
      </c>
      <c r="O36" s="29"/>
      <c r="P36" s="31">
        <f>+P32-P34</f>
        <v>-2291.9899999999998</v>
      </c>
      <c r="Q36" s="14"/>
      <c r="R36" s="33">
        <f>IF(P$12=0,0,P36/P$12)</f>
        <v>0</v>
      </c>
      <c r="S36" s="14"/>
      <c r="T36" s="31">
        <f>+T32-T34</f>
        <v>-4350</v>
      </c>
      <c r="U36" s="14"/>
      <c r="V36" s="33">
        <f>IF(T$12=0,0,T36/T$12)</f>
        <v>0</v>
      </c>
      <c r="W36" s="16"/>
      <c r="X36" s="31">
        <f>P36-T36</f>
        <v>2058.0100000000002</v>
      </c>
      <c r="Y36" s="16"/>
      <c r="Z36" s="33">
        <f>IF(T36=0,0,X36/T36)</f>
        <v>-0.47310574712643683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294</v>
      </c>
      <c r="C39" s="28"/>
      <c r="D39" s="34">
        <f>SUM(D36:D38)</f>
        <v>-119.55</v>
      </c>
      <c r="E39" s="14"/>
      <c r="F39" s="35">
        <f>IF(D$12=0,0,D39/D$12)</f>
        <v>0</v>
      </c>
      <c r="G39" s="14"/>
      <c r="H39" s="34">
        <f>SUM(H36:H38)</f>
        <v>-435</v>
      </c>
      <c r="I39" s="14"/>
      <c r="J39" s="35">
        <f>IF(H$12=0,0,H39/H$12)</f>
        <v>0</v>
      </c>
      <c r="K39" s="16"/>
      <c r="L39" s="34">
        <f>+D39-H39</f>
        <v>315.45</v>
      </c>
      <c r="M39" s="16"/>
      <c r="N39" s="35">
        <f>IF(H39=0,0,L39/H39)</f>
        <v>-0.72517241379310338</v>
      </c>
      <c r="O39" s="29"/>
      <c r="P39" s="34">
        <f>SUM(P36:P38)</f>
        <v>-2291.9899999999998</v>
      </c>
      <c r="Q39" s="14"/>
      <c r="R39" s="35">
        <f>IF(P$12=0,0,P39/P$12)</f>
        <v>0</v>
      </c>
      <c r="S39" s="14"/>
      <c r="T39" s="34">
        <f>SUM(T36:T38)</f>
        <v>-4350</v>
      </c>
      <c r="U39" s="14"/>
      <c r="V39" s="35">
        <f>IF(T$12=0,0,T39/T$12)</f>
        <v>0</v>
      </c>
      <c r="W39" s="16"/>
      <c r="X39" s="34">
        <f>+P39-T39</f>
        <v>2058.0100000000002</v>
      </c>
      <c r="Y39" s="16"/>
      <c r="Z39" s="35">
        <f>IF(T39=0,0,X39/T39)</f>
        <v>-0.47310574712643683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2">
        <v>44330.0058283912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6" t="s">
        <v>56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5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38137.349999999991</v>
      </c>
      <c r="E18" s="22"/>
      <c r="F18" s="32">
        <f t="shared" ref="F18:F28" si="0">IF(D$12=0,0,D18/D$12)</f>
        <v>0</v>
      </c>
      <c r="G18" s="22"/>
      <c r="H18" s="22">
        <f>SUM(OSRRefH22x_0)</f>
        <v>18113.076923076922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20024.273076923069</v>
      </c>
      <c r="M18" s="4"/>
      <c r="N18" s="32">
        <f t="shared" ref="N18:N28" si="3">IF(H18=0,0,L18/H18)</f>
        <v>1.1055147152503499</v>
      </c>
      <c r="O18" s="10"/>
      <c r="P18" s="22">
        <f>SUM(OSRRefP22x_0)</f>
        <v>291450.71999999997</v>
      </c>
      <c r="Q18" s="22"/>
      <c r="R18" s="32">
        <f t="shared" ref="R18:R28" si="4">IF(P$12=0,0,P18/P$12)</f>
        <v>0</v>
      </c>
      <c r="S18" s="22"/>
      <c r="T18" s="22">
        <f>SUM(OSRRefT22x_0)</f>
        <v>179326.07692307691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112124.64307692306</v>
      </c>
      <c r="Y18" s="4"/>
      <c r="Z18" s="32">
        <f t="shared" ref="Z18:Z28" si="7">IF(T18=0,0,X18/T18)</f>
        <v>0.62525565160843655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6905.3399999999992</v>
      </c>
      <c r="E19" s="1"/>
      <c r="F19" s="5">
        <f t="shared" si="0"/>
        <v>0</v>
      </c>
      <c r="G19" s="1"/>
      <c r="H19" s="1">
        <f>SUM(OSRRefH22_0x_0)</f>
        <v>3333.0769230769201</v>
      </c>
      <c r="I19" s="1"/>
      <c r="J19" s="5">
        <f t="shared" si="1"/>
        <v>0</v>
      </c>
      <c r="K19" s="1"/>
      <c r="L19" s="1">
        <f t="shared" si="2"/>
        <v>3572.2630769230791</v>
      </c>
      <c r="M19" s="1"/>
      <c r="N19" s="5">
        <f t="shared" si="3"/>
        <v>1.0717613662589447</v>
      </c>
      <c r="O19" s="13"/>
      <c r="P19" s="1">
        <f>SUM(OSRRefP22_0x_0)</f>
        <v>60521.04</v>
      </c>
      <c r="Q19" s="1"/>
      <c r="R19" s="5">
        <f t="shared" si="4"/>
        <v>0</v>
      </c>
      <c r="S19" s="1"/>
      <c r="T19" s="1">
        <f>SUM(OSRRefT22_0x_0)</f>
        <v>31413.0769230769</v>
      </c>
      <c r="U19" s="1"/>
      <c r="V19" s="5">
        <f t="shared" si="5"/>
        <v>0</v>
      </c>
      <c r="W19" s="1"/>
      <c r="X19" s="1">
        <f t="shared" si="6"/>
        <v>29107.963076923101</v>
      </c>
      <c r="Y19" s="1"/>
      <c r="Z19" s="5">
        <f t="shared" si="7"/>
        <v>0.92661929132894327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1281.68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1281.68</v>
      </c>
      <c r="M20" s="2"/>
      <c r="N20" s="6">
        <f t="shared" si="3"/>
        <v>0</v>
      </c>
      <c r="O20" s="11"/>
      <c r="P20" s="7">
        <v>9175.39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9175.39</v>
      </c>
      <c r="Y20" s="2"/>
      <c r="Z20" s="6">
        <f t="shared" si="7"/>
        <v>0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36.78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36.78</v>
      </c>
      <c r="M21" s="2"/>
      <c r="N21" s="6">
        <f t="shared" si="3"/>
        <v>0</v>
      </c>
      <c r="O21" s="11"/>
      <c r="P21" s="7">
        <v>513.86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513.86</v>
      </c>
      <c r="Y21" s="2"/>
      <c r="Z21" s="6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1920.87</v>
      </c>
      <c r="E22" s="2"/>
      <c r="F22" s="6">
        <f t="shared" si="0"/>
        <v>0</v>
      </c>
      <c r="G22" s="2"/>
      <c r="H22" s="7">
        <v>2983.0769230769201</v>
      </c>
      <c r="I22" s="2"/>
      <c r="J22" s="6">
        <f t="shared" si="1"/>
        <v>0</v>
      </c>
      <c r="K22" s="2"/>
      <c r="L22" s="7">
        <f t="shared" si="2"/>
        <v>-1062.2069230769202</v>
      </c>
      <c r="M22" s="2"/>
      <c r="N22" s="6">
        <f t="shared" si="3"/>
        <v>-0.35607761732851928</v>
      </c>
      <c r="O22" s="11"/>
      <c r="P22" s="7">
        <v>18253.95</v>
      </c>
      <c r="Q22" s="2"/>
      <c r="R22" s="6">
        <f t="shared" si="4"/>
        <v>0</v>
      </c>
      <c r="S22" s="2"/>
      <c r="T22" s="7">
        <v>27913.0769230769</v>
      </c>
      <c r="U22" s="2"/>
      <c r="V22" s="6">
        <f t="shared" si="5"/>
        <v>0</v>
      </c>
      <c r="W22" s="2"/>
      <c r="X22" s="7">
        <f t="shared" si="6"/>
        <v>-9659.1269230768994</v>
      </c>
      <c r="Y22" s="2"/>
      <c r="Z22" s="6">
        <f t="shared" si="7"/>
        <v>-0.34604307327693057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28.98</v>
      </c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28.98</v>
      </c>
      <c r="M23" s="2"/>
      <c r="N23" s="6">
        <f t="shared" si="3"/>
        <v>0</v>
      </c>
      <c r="O23" s="11"/>
      <c r="P23" s="7">
        <v>339.97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339.97</v>
      </c>
      <c r="Y23" s="2"/>
      <c r="Z23" s="6">
        <f t="shared" si="7"/>
        <v>0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1221.05</v>
      </c>
      <c r="M24" s="2"/>
      <c r="N24" s="6">
        <f t="shared" si="3"/>
        <v>0</v>
      </c>
      <c r="O24" s="11"/>
      <c r="P24" s="7">
        <v>14481.94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14481.94</v>
      </c>
      <c r="Y24" s="2"/>
      <c r="Z24" s="6">
        <f t="shared" si="7"/>
        <v>0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1533.78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1533.78</v>
      </c>
      <c r="M26" s="2"/>
      <c r="N26" s="6">
        <f t="shared" si="3"/>
        <v>0</v>
      </c>
      <c r="O26" s="11"/>
      <c r="P26" s="7">
        <v>11439.86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11439.86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765.87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765.87</v>
      </c>
      <c r="M27" s="2"/>
      <c r="N27" s="6">
        <f t="shared" si="3"/>
        <v>0</v>
      </c>
      <c r="O27" s="11"/>
      <c r="P27" s="7">
        <v>5712.32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5712.32</v>
      </c>
      <c r="Y27" s="2"/>
      <c r="Z27" s="6">
        <f t="shared" si="7"/>
        <v>0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116.33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-233.67000000000002</v>
      </c>
      <c r="M28" s="2"/>
      <c r="N28" s="6">
        <f t="shared" si="3"/>
        <v>-0.66762857142857146</v>
      </c>
      <c r="O28" s="11"/>
      <c r="P28" s="7">
        <v>603.75</v>
      </c>
      <c r="Q28" s="2"/>
      <c r="R28" s="6">
        <f t="shared" si="4"/>
        <v>0</v>
      </c>
      <c r="S28" s="2"/>
      <c r="T28" s="7">
        <v>3500</v>
      </c>
      <c r="U28" s="2"/>
      <c r="V28" s="6">
        <f t="shared" si="5"/>
        <v>0</v>
      </c>
      <c r="W28" s="2"/>
      <c r="X28" s="7">
        <f t="shared" si="6"/>
        <v>-2896.25</v>
      </c>
      <c r="Y28" s="2"/>
      <c r="Z28" s="6">
        <f t="shared" si="7"/>
        <v>-0.82750000000000001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13906.92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13906.92</v>
      </c>
      <c r="M29" s="1"/>
      <c r="N29" s="5">
        <f t="shared" ref="N29:N39" si="11">IF(H29=0,0,L29/H29)</f>
        <v>0</v>
      </c>
      <c r="O29" s="13"/>
      <c r="P29" s="1">
        <f>SUM(OSRRefP22_1x_0)</f>
        <v>113511.17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113511.17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13836.92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13836.92</v>
      </c>
      <c r="M30" s="2"/>
      <c r="N30" s="6">
        <f t="shared" si="11"/>
        <v>0</v>
      </c>
      <c r="O30" s="11"/>
      <c r="P30" s="7">
        <v>111056.17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111056.17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70</v>
      </c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70</v>
      </c>
      <c r="M33" s="2"/>
      <c r="N33" s="6">
        <f t="shared" si="11"/>
        <v>0</v>
      </c>
      <c r="O33" s="11"/>
      <c r="P33" s="7">
        <v>70</v>
      </c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70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305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305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63.55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63.55</v>
      </c>
      <c r="M40" s="1"/>
      <c r="N40" s="5">
        <f t="shared" ref="N40:N46" si="19">IF(H40=0,0,L40/H40)</f>
        <v>0</v>
      </c>
      <c r="O40" s="13"/>
      <c r="P40" s="1">
        <f>SUM(OSRRefP22_2x_0)</f>
        <v>63.55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63.55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>
        <v>63.55</v>
      </c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63.55</v>
      </c>
      <c r="M41" s="2"/>
      <c r="N41" s="6">
        <f t="shared" si="19"/>
        <v>0</v>
      </c>
      <c r="O41" s="11"/>
      <c r="P41" s="7">
        <v>63.55</v>
      </c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63.55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SUM(OSRRefD22_3x_0)</f>
        <v>492.91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492.91</v>
      </c>
      <c r="M42" s="1"/>
      <c r="N42" s="5">
        <f t="shared" si="19"/>
        <v>0</v>
      </c>
      <c r="O42" s="13"/>
      <c r="P42" s="1">
        <f>SUM(OSRRefP22_3x_0)</f>
        <v>4373.3100000000004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4373.3100000000004</v>
      </c>
      <c r="Y42" s="1"/>
      <c r="Z42" s="5">
        <f t="shared" si="23"/>
        <v>0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492.91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492.91</v>
      </c>
      <c r="M43" s="2"/>
      <c r="N43" s="6">
        <f t="shared" si="19"/>
        <v>0</v>
      </c>
      <c r="O43" s="11"/>
      <c r="P43" s="7">
        <v>4373.3100000000004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4373.3100000000004</v>
      </c>
      <c r="Y43" s="2"/>
      <c r="Z43" s="6">
        <f t="shared" si="23"/>
        <v>0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3"/>
      <c r="P44" s="1">
        <f>SUM(OSRRefP22_4x_0)</f>
        <v>68582.790000000008</v>
      </c>
      <c r="Q44" s="1"/>
      <c r="R44" s="5">
        <f t="shared" si="20"/>
        <v>0</v>
      </c>
      <c r="S44" s="1"/>
      <c r="T44" s="1">
        <f>SUM(OSRRefT22_4x_0)</f>
        <v>68226</v>
      </c>
      <c r="U44" s="1"/>
      <c r="V44" s="5">
        <f t="shared" si="21"/>
        <v>0</v>
      </c>
      <c r="W44" s="1"/>
      <c r="X44" s="1">
        <f t="shared" si="22"/>
        <v>356.79000000000815</v>
      </c>
      <c r="Y44" s="1"/>
      <c r="Z44" s="5">
        <f t="shared" si="23"/>
        <v>5.2295312637412154E-3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19010.990000000002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19010.990000000002</v>
      </c>
      <c r="Y45" s="2"/>
      <c r="Z45" s="6">
        <f t="shared" si="23"/>
        <v>0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49571.8</v>
      </c>
      <c r="Q46" s="2"/>
      <c r="R46" s="6">
        <f t="shared" si="20"/>
        <v>0</v>
      </c>
      <c r="S46" s="2"/>
      <c r="T46" s="7">
        <v>68226</v>
      </c>
      <c r="U46" s="2"/>
      <c r="V46" s="6">
        <f t="shared" si="21"/>
        <v>0</v>
      </c>
      <c r="W46" s="2"/>
      <c r="X46" s="7">
        <f t="shared" si="22"/>
        <v>-18654.199999999997</v>
      </c>
      <c r="Y46" s="2"/>
      <c r="Z46" s="6">
        <f t="shared" si="23"/>
        <v>-0.2734177586257438</v>
      </c>
    </row>
    <row r="47" spans="1:26" s="25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91.26</v>
      </c>
      <c r="E47" s="1"/>
      <c r="F47" s="5">
        <f t="shared" ref="F47:F59" si="24">IF(D$12=0,0,D47/D$12)</f>
        <v>0</v>
      </c>
      <c r="G47" s="1"/>
      <c r="H47" s="1">
        <f>SUM(OSRRefH22_5x_0)</f>
        <v>0</v>
      </c>
      <c r="I47" s="1"/>
      <c r="J47" s="5">
        <f t="shared" ref="J47:J59" si="25">IF(H$12=0,0,H47/H$12)</f>
        <v>0</v>
      </c>
      <c r="K47" s="1"/>
      <c r="L47" s="1">
        <f t="shared" ref="L47:L59" si="26">+D47-H47</f>
        <v>91.26</v>
      </c>
      <c r="M47" s="1"/>
      <c r="N47" s="5">
        <f t="shared" ref="N47:N59" si="27">IF(H47=0,0,L47/H47)</f>
        <v>0</v>
      </c>
      <c r="O47" s="13"/>
      <c r="P47" s="1">
        <f>SUM(OSRRefP22_5x_0)</f>
        <v>3110.75</v>
      </c>
      <c r="Q47" s="1"/>
      <c r="R47" s="5">
        <f t="shared" ref="R47:R59" si="28">IF(P$12=0,0,P47/P$12)</f>
        <v>0</v>
      </c>
      <c r="S47" s="1"/>
      <c r="T47" s="1">
        <f>SUM(OSRRefT22_5x_0)</f>
        <v>0</v>
      </c>
      <c r="U47" s="1"/>
      <c r="V47" s="5">
        <f t="shared" ref="V47:V59" si="29">IF(T$12=0,0,T47/T$12)</f>
        <v>0</v>
      </c>
      <c r="W47" s="1"/>
      <c r="X47" s="1">
        <f t="shared" ref="X47:X59" si="30">+P47-T47</f>
        <v>3110.75</v>
      </c>
      <c r="Y47" s="1"/>
      <c r="Z47" s="5">
        <f t="shared" ref="Z47:Z59" si="31">IF(T47=0,0,X47/T47)</f>
        <v>0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91.26</v>
      </c>
      <c r="M48" s="2"/>
      <c r="N48" s="6">
        <f t="shared" si="27"/>
        <v>0</v>
      </c>
      <c r="O48" s="11"/>
      <c r="P48" s="7">
        <v>3110.75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3110.75</v>
      </c>
      <c r="Y48" s="2"/>
      <c r="Z48" s="6">
        <f t="shared" si="31"/>
        <v>0</v>
      </c>
    </row>
    <row r="49" spans="1:26" s="25" customFormat="1" outlineLevel="1" collapsed="1" x14ac:dyDescent="0.25">
      <c r="A49" s="27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2.96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2.96</v>
      </c>
      <c r="M49" s="1"/>
      <c r="N49" s="5">
        <f t="shared" si="27"/>
        <v>0</v>
      </c>
      <c r="O49" s="13"/>
      <c r="P49" s="1">
        <f>SUM(OSRRefP22_6x_0)</f>
        <v>-2.4500000000000002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-2.4500000000000002</v>
      </c>
      <c r="Y49" s="1"/>
      <c r="Z49" s="5">
        <f t="shared" si="31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>
        <v>2.96</v>
      </c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2.96</v>
      </c>
      <c r="M50" s="2"/>
      <c r="N50" s="6">
        <f t="shared" si="27"/>
        <v>0</v>
      </c>
      <c r="O50" s="11"/>
      <c r="P50" s="7">
        <v>-2.4500000000000002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-2.4500000000000002</v>
      </c>
      <c r="Y50" s="2"/>
      <c r="Z50" s="6">
        <f t="shared" si="31"/>
        <v>0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205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205</v>
      </c>
      <c r="M51" s="1"/>
      <c r="N51" s="5">
        <f t="shared" si="27"/>
        <v>0</v>
      </c>
      <c r="O51" s="13"/>
      <c r="P51" s="1">
        <f>SUM(OSRRefP22_7x_0)</f>
        <v>721.41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721.41</v>
      </c>
      <c r="Y51" s="1"/>
      <c r="Z51" s="5">
        <f t="shared" si="31"/>
        <v>0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>
        <v>205</v>
      </c>
      <c r="E52" s="2"/>
      <c r="F52" s="6">
        <f t="shared" si="24"/>
        <v>0</v>
      </c>
      <c r="G52" s="2"/>
      <c r="H52" s="7">
        <v>0</v>
      </c>
      <c r="I52" s="2"/>
      <c r="J52" s="6">
        <f t="shared" si="25"/>
        <v>0</v>
      </c>
      <c r="K52" s="2"/>
      <c r="L52" s="7">
        <f t="shared" si="26"/>
        <v>205</v>
      </c>
      <c r="M52" s="2"/>
      <c r="N52" s="6">
        <f t="shared" si="27"/>
        <v>0</v>
      </c>
      <c r="O52" s="11"/>
      <c r="P52" s="7">
        <v>721.41</v>
      </c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721.41</v>
      </c>
      <c r="Y52" s="2"/>
      <c r="Z52" s="6">
        <f t="shared" si="31"/>
        <v>0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3"/>
      <c r="P53" s="1">
        <f>SUM(OSRRefP22_8x_0)</f>
        <v>42100.5</v>
      </c>
      <c r="Q53" s="1"/>
      <c r="R53" s="5">
        <f t="shared" si="28"/>
        <v>0</v>
      </c>
      <c r="S53" s="1"/>
      <c r="T53" s="1">
        <f>SUM(OSRRefT22_8x_0)</f>
        <v>38600</v>
      </c>
      <c r="U53" s="1"/>
      <c r="V53" s="5">
        <f t="shared" si="29"/>
        <v>0</v>
      </c>
      <c r="W53" s="1"/>
      <c r="X53" s="1">
        <f t="shared" si="30"/>
        <v>3500.5</v>
      </c>
      <c r="Y53" s="1"/>
      <c r="Z53" s="5">
        <f t="shared" si="31"/>
        <v>9.0686528497409324E-2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-261.15000000000009</v>
      </c>
      <c r="M54" s="2"/>
      <c r="N54" s="6">
        <f t="shared" si="27"/>
        <v>-6.76554404145078E-2</v>
      </c>
      <c r="O54" s="11"/>
      <c r="P54" s="7">
        <v>42100.5</v>
      </c>
      <c r="Q54" s="2"/>
      <c r="R54" s="6">
        <f t="shared" si="28"/>
        <v>0</v>
      </c>
      <c r="S54" s="2"/>
      <c r="T54" s="7">
        <v>38600</v>
      </c>
      <c r="U54" s="2"/>
      <c r="V54" s="6">
        <f t="shared" si="29"/>
        <v>0</v>
      </c>
      <c r="W54" s="2"/>
      <c r="X54" s="7">
        <f t="shared" si="30"/>
        <v>3500.5</v>
      </c>
      <c r="Y54" s="2"/>
      <c r="Z54" s="6">
        <f t="shared" si="31"/>
        <v>9.0686528497409324E-2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72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72</v>
      </c>
      <c r="M55" s="1"/>
      <c r="N55" s="5">
        <f t="shared" si="27"/>
        <v>0</v>
      </c>
      <c r="O55" s="13"/>
      <c r="P55" s="1">
        <f>SUM(OSRRefP22_9x_0)</f>
        <v>8313.84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8313.84</v>
      </c>
      <c r="Y55" s="1"/>
      <c r="Z55" s="5">
        <f t="shared" si="31"/>
        <v>0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702.27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702.27</v>
      </c>
      <c r="Y56" s="2"/>
      <c r="Z56" s="6">
        <f t="shared" si="31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100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100</v>
      </c>
      <c r="Y57" s="2"/>
      <c r="Z57" s="6">
        <f t="shared" si="31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24"/>
        <v>0</v>
      </c>
      <c r="G58" s="2"/>
      <c r="H58" s="7">
        <v>0</v>
      </c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2215.61</v>
      </c>
      <c r="Q58" s="2"/>
      <c r="R58" s="6">
        <f t="shared" si="28"/>
        <v>0</v>
      </c>
      <c r="S58" s="2"/>
      <c r="T58" s="7">
        <v>0</v>
      </c>
      <c r="U58" s="2"/>
      <c r="V58" s="6">
        <f t="shared" si="29"/>
        <v>0</v>
      </c>
      <c r="W58" s="2"/>
      <c r="X58" s="7">
        <f t="shared" si="30"/>
        <v>2215.61</v>
      </c>
      <c r="Y58" s="2"/>
      <c r="Z58" s="6">
        <f t="shared" si="31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72</v>
      </c>
      <c r="E59" s="2"/>
      <c r="F59" s="6">
        <f t="shared" si="24"/>
        <v>0</v>
      </c>
      <c r="G59" s="2"/>
      <c r="H59" s="7">
        <v>0</v>
      </c>
      <c r="I59" s="2"/>
      <c r="J59" s="6">
        <f t="shared" si="25"/>
        <v>0</v>
      </c>
      <c r="K59" s="2"/>
      <c r="L59" s="7">
        <f t="shared" si="26"/>
        <v>72</v>
      </c>
      <c r="M59" s="2"/>
      <c r="N59" s="6">
        <f t="shared" si="27"/>
        <v>0</v>
      </c>
      <c r="O59" s="11"/>
      <c r="P59" s="7">
        <v>5295.96</v>
      </c>
      <c r="Q59" s="2"/>
      <c r="R59" s="6">
        <f t="shared" si="28"/>
        <v>0</v>
      </c>
      <c r="S59" s="2"/>
      <c r="T59" s="7">
        <v>0</v>
      </c>
      <c r="U59" s="2"/>
      <c r="V59" s="6">
        <f t="shared" si="29"/>
        <v>0</v>
      </c>
      <c r="W59" s="2"/>
      <c r="X59" s="7">
        <f t="shared" si="30"/>
        <v>5295.96</v>
      </c>
      <c r="Y59" s="2"/>
      <c r="Z59" s="6">
        <f t="shared" si="31"/>
        <v>0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SUM(OSRRefD22_10x_0)</f>
        <v>4924.1000000000004</v>
      </c>
      <c r="E60" s="1"/>
      <c r="F60" s="5">
        <f t="shared" ref="F60:F64" si="32">IF(D$12=0,0,D60/D$12)</f>
        <v>0</v>
      </c>
      <c r="G60" s="1"/>
      <c r="H60" s="1">
        <f>SUM(OSRRefH22_10x_0)</f>
        <v>3126</v>
      </c>
      <c r="I60" s="1"/>
      <c r="J60" s="5">
        <f t="shared" ref="J60:J64" si="33">IF(H$12=0,0,H60/H$12)</f>
        <v>0</v>
      </c>
      <c r="K60" s="1"/>
      <c r="L60" s="1">
        <f t="shared" ref="L60:L64" si="34">+D60-H60</f>
        <v>1798.1000000000004</v>
      </c>
      <c r="M60" s="1"/>
      <c r="N60" s="5">
        <f t="shared" ref="N60:N64" si="35">IF(H60=0,0,L60/H60)</f>
        <v>0.57520793346129251</v>
      </c>
      <c r="O60" s="13"/>
      <c r="P60" s="1">
        <f>SUM(OSRRefP22_10x_0)</f>
        <v>27052.18</v>
      </c>
      <c r="Q60" s="1"/>
      <c r="R60" s="5">
        <f t="shared" ref="R60:R64" si="36">IF(P$12=0,0,P60/P$12)</f>
        <v>0</v>
      </c>
      <c r="S60" s="1"/>
      <c r="T60" s="1">
        <f>SUM(OSRRefT22_10x_0)</f>
        <v>29687</v>
      </c>
      <c r="U60" s="1"/>
      <c r="V60" s="5">
        <f t="shared" ref="V60:V64" si="37">IF(T$12=0,0,T60/T$12)</f>
        <v>0</v>
      </c>
      <c r="W60" s="1"/>
      <c r="X60" s="1">
        <f t="shared" ref="X60:X64" si="38">+P60-T60</f>
        <v>-2634.8199999999997</v>
      </c>
      <c r="Y60" s="1"/>
      <c r="Z60" s="5">
        <f t="shared" ref="Z60:Z64" si="39">IF(T60=0,0,X60/T60)</f>
        <v>-8.8753326371812574E-2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670.1</v>
      </c>
      <c r="E61" s="2"/>
      <c r="F61" s="6">
        <f t="shared" si="32"/>
        <v>0</v>
      </c>
      <c r="G61" s="2"/>
      <c r="H61" s="7">
        <v>626</v>
      </c>
      <c r="I61" s="2"/>
      <c r="J61" s="6">
        <f t="shared" si="33"/>
        <v>0</v>
      </c>
      <c r="K61" s="2"/>
      <c r="L61" s="7">
        <f t="shared" si="34"/>
        <v>44.100000000000023</v>
      </c>
      <c r="M61" s="2"/>
      <c r="N61" s="6">
        <f t="shared" si="35"/>
        <v>7.0447284345047961E-2</v>
      </c>
      <c r="O61" s="11"/>
      <c r="P61" s="7">
        <v>5680.18</v>
      </c>
      <c r="Q61" s="2"/>
      <c r="R61" s="6">
        <f t="shared" si="36"/>
        <v>0</v>
      </c>
      <c r="S61" s="2"/>
      <c r="T61" s="7">
        <v>6887</v>
      </c>
      <c r="U61" s="2"/>
      <c r="V61" s="6">
        <f t="shared" si="37"/>
        <v>0</v>
      </c>
      <c r="W61" s="2"/>
      <c r="X61" s="7">
        <f t="shared" si="38"/>
        <v>-1206.8199999999997</v>
      </c>
      <c r="Y61" s="2"/>
      <c r="Z61" s="6">
        <f t="shared" si="39"/>
        <v>-0.17523159576012773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7"/>
      <c r="E62" s="2"/>
      <c r="F62" s="6">
        <f t="shared" si="32"/>
        <v>0</v>
      </c>
      <c r="G62" s="2"/>
      <c r="H62" s="7">
        <v>0</v>
      </c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0</v>
      </c>
      <c r="U62" s="2"/>
      <c r="V62" s="6">
        <f t="shared" si="37"/>
        <v>0</v>
      </c>
      <c r="W62" s="2"/>
      <c r="X62" s="7">
        <f t="shared" si="38"/>
        <v>0</v>
      </c>
      <c r="Y62" s="2"/>
      <c r="Z62" s="6">
        <f t="shared" si="39"/>
        <v>0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7">
        <v>4254</v>
      </c>
      <c r="E63" s="2"/>
      <c r="F63" s="6">
        <f t="shared" si="32"/>
        <v>0</v>
      </c>
      <c r="G63" s="2"/>
      <c r="H63" s="7">
        <v>2500</v>
      </c>
      <c r="I63" s="2"/>
      <c r="J63" s="6">
        <f t="shared" si="33"/>
        <v>0</v>
      </c>
      <c r="K63" s="2"/>
      <c r="L63" s="7">
        <f t="shared" si="34"/>
        <v>1754</v>
      </c>
      <c r="M63" s="2"/>
      <c r="N63" s="6">
        <f t="shared" si="35"/>
        <v>0.7016</v>
      </c>
      <c r="O63" s="11"/>
      <c r="P63" s="7">
        <v>21372</v>
      </c>
      <c r="Q63" s="2"/>
      <c r="R63" s="6">
        <f t="shared" si="36"/>
        <v>0</v>
      </c>
      <c r="S63" s="2"/>
      <c r="T63" s="7">
        <v>22800</v>
      </c>
      <c r="U63" s="2"/>
      <c r="V63" s="6">
        <f t="shared" si="37"/>
        <v>0</v>
      </c>
      <c r="W63" s="2"/>
      <c r="X63" s="7">
        <f t="shared" si="38"/>
        <v>-1428</v>
      </c>
      <c r="Y63" s="2"/>
      <c r="Z63" s="6">
        <f t="shared" si="39"/>
        <v>-6.2631578947368427E-2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32"/>
        <v>0</v>
      </c>
      <c r="G64" s="2"/>
      <c r="H64" s="7">
        <v>0</v>
      </c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/>
      <c r="Q64" s="2"/>
      <c r="R64" s="6">
        <f t="shared" si="36"/>
        <v>0</v>
      </c>
      <c r="S64" s="2"/>
      <c r="T64" s="7">
        <v>0</v>
      </c>
      <c r="U64" s="2"/>
      <c r="V64" s="6">
        <f t="shared" si="37"/>
        <v>0</v>
      </c>
      <c r="W64" s="2"/>
      <c r="X64" s="7">
        <f t="shared" si="38"/>
        <v>0</v>
      </c>
      <c r="Y64" s="2"/>
      <c r="Z64" s="6">
        <f t="shared" si="39"/>
        <v>0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SUM(OSRRefD22_11x_0)</f>
        <v>0</v>
      </c>
      <c r="E65" s="1"/>
      <c r="F65" s="5">
        <f t="shared" ref="F65:F67" si="40">IF(D$12=0,0,D65/D$12)</f>
        <v>0</v>
      </c>
      <c r="G65" s="1"/>
      <c r="H65" s="1">
        <f>SUM(OSRRefH22_11x_0)</f>
        <v>0</v>
      </c>
      <c r="I65" s="1"/>
      <c r="J65" s="5">
        <f t="shared" ref="J65:J67" si="41">IF(H$12=0,0,H65/H$12)</f>
        <v>0</v>
      </c>
      <c r="K65" s="1"/>
      <c r="L65" s="1">
        <f t="shared" ref="L65:L67" si="42">+D65-H65</f>
        <v>0</v>
      </c>
      <c r="M65" s="1"/>
      <c r="N65" s="5">
        <f t="shared" ref="N65:N67" si="43">IF(H65=0,0,L65/H65)</f>
        <v>0</v>
      </c>
      <c r="O65" s="13"/>
      <c r="P65" s="1">
        <f>SUM(OSRRefP22_11x_0)</f>
        <v>119.07</v>
      </c>
      <c r="Q65" s="1"/>
      <c r="R65" s="5">
        <f t="shared" ref="R65:R67" si="44">IF(P$12=0,0,P65/P$12)</f>
        <v>0</v>
      </c>
      <c r="S65" s="1"/>
      <c r="T65" s="1">
        <f>SUM(OSRRefT22_11x_0)</f>
        <v>900</v>
      </c>
      <c r="U65" s="1"/>
      <c r="V65" s="5">
        <f t="shared" ref="V65:V67" si="45">IF(T$12=0,0,T65/T$12)</f>
        <v>0</v>
      </c>
      <c r="W65" s="1"/>
      <c r="X65" s="1">
        <f t="shared" ref="X65:X67" si="46">+P65-T65</f>
        <v>-780.93000000000006</v>
      </c>
      <c r="Y65" s="1"/>
      <c r="Z65" s="5">
        <f t="shared" ref="Z65:Z67" si="47">IF(T65=0,0,X65/T65)</f>
        <v>-0.86770000000000003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/>
      <c r="Q66" s="2"/>
      <c r="R66" s="6">
        <f t="shared" si="44"/>
        <v>0</v>
      </c>
      <c r="S66" s="2"/>
      <c r="T66" s="7">
        <v>900</v>
      </c>
      <c r="U66" s="2"/>
      <c r="V66" s="6">
        <f t="shared" si="45"/>
        <v>0</v>
      </c>
      <c r="W66" s="2"/>
      <c r="X66" s="7">
        <f t="shared" si="46"/>
        <v>-900</v>
      </c>
      <c r="Y66" s="2"/>
      <c r="Z66" s="6">
        <f t="shared" si="47"/>
        <v>-1</v>
      </c>
    </row>
    <row r="67" spans="1:26" s="24" customFormat="1" hidden="1" outlineLevel="2" x14ac:dyDescent="0.25">
      <c r="A67" s="26"/>
      <c r="B67" s="11" t="str">
        <f>CONCATENATE("          ", "6275", " - ", "SUBSCRIPTIONS")</f>
        <v xml:space="preserve">          6275 - SUBSCRIPTIONS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119.07</v>
      </c>
      <c r="Q67" s="2"/>
      <c r="R67" s="6">
        <f t="shared" si="44"/>
        <v>0</v>
      </c>
      <c r="S67" s="2"/>
      <c r="T67" s="7"/>
      <c r="U67" s="2"/>
      <c r="V67" s="6">
        <f t="shared" si="45"/>
        <v>0</v>
      </c>
      <c r="W67" s="2"/>
      <c r="X67" s="7">
        <f t="shared" si="46"/>
        <v>119.07</v>
      </c>
      <c r="Y67" s="2"/>
      <c r="Z67" s="6">
        <f t="shared" si="47"/>
        <v>0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SUM(OSRRefD22_12x_0)</f>
        <v>0</v>
      </c>
      <c r="E68" s="1"/>
      <c r="F68" s="5">
        <f t="shared" ref="F68:F75" si="48">IF(D$12=0,0,D68/D$12)</f>
        <v>0</v>
      </c>
      <c r="G68" s="1"/>
      <c r="H68" s="1">
        <f>SUM(OSRRefH22_12x_0)</f>
        <v>0</v>
      </c>
      <c r="I68" s="1"/>
      <c r="J68" s="5">
        <f t="shared" ref="J68:J75" si="49">IF(H$12=0,0,H68/H$12)</f>
        <v>0</v>
      </c>
      <c r="K68" s="1"/>
      <c r="L68" s="1">
        <f t="shared" ref="L68:L75" si="50">+D68-H68</f>
        <v>0</v>
      </c>
      <c r="M68" s="1"/>
      <c r="N68" s="5">
        <f t="shared" ref="N68:N75" si="51">IF(H68=0,0,L68/H68)</f>
        <v>0</v>
      </c>
      <c r="O68" s="13"/>
      <c r="P68" s="1">
        <f>SUM(OSRRefP22_12x_0)</f>
        <v>-29072.880000000001</v>
      </c>
      <c r="Q68" s="1"/>
      <c r="R68" s="5">
        <f t="shared" ref="R68:R75" si="52">IF(P$12=0,0,P68/P$12)</f>
        <v>0</v>
      </c>
      <c r="S68" s="1"/>
      <c r="T68" s="1">
        <f>SUM(OSRRefT22_12x_0)</f>
        <v>0</v>
      </c>
      <c r="U68" s="1"/>
      <c r="V68" s="5">
        <f t="shared" ref="V68:V75" si="53">IF(T$12=0,0,T68/T$12)</f>
        <v>0</v>
      </c>
      <c r="W68" s="1"/>
      <c r="X68" s="1">
        <f t="shared" ref="X68:X75" si="54">+P68-T68</f>
        <v>-29072.880000000001</v>
      </c>
      <c r="Y68" s="1"/>
      <c r="Z68" s="5">
        <f t="shared" ref="Z68:Z75" si="55">IF(T68=0,0,X68/T68)</f>
        <v>0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>
        <v>127.89</v>
      </c>
      <c r="Q69" s="2"/>
      <c r="R69" s="6">
        <f t="shared" si="52"/>
        <v>0</v>
      </c>
      <c r="S69" s="2"/>
      <c r="T69" s="7">
        <v>0</v>
      </c>
      <c r="U69" s="2"/>
      <c r="V69" s="6">
        <f t="shared" si="53"/>
        <v>0</v>
      </c>
      <c r="W69" s="2"/>
      <c r="X69" s="7">
        <f t="shared" si="54"/>
        <v>127.89</v>
      </c>
      <c r="Y69" s="2"/>
      <c r="Z69" s="6">
        <f t="shared" si="55"/>
        <v>0</v>
      </c>
    </row>
    <row r="70" spans="1:26" s="24" customFormat="1" hidden="1" outlineLevel="2" x14ac:dyDescent="0.25">
      <c r="A70" s="26"/>
      <c r="B70" s="11" t="str">
        <f>CONCATENATE("          ", "6237", " - ", "JANITORIAL SUPPLIES")</f>
        <v xml:space="preserve">          6237 - JANITORIAL SUPPLIES</v>
      </c>
      <c r="C70" s="11"/>
      <c r="D70" s="7"/>
      <c r="E70" s="2"/>
      <c r="F70" s="6">
        <f t="shared" si="48"/>
        <v>0</v>
      </c>
      <c r="G70" s="2"/>
      <c r="H70" s="7">
        <v>0</v>
      </c>
      <c r="I70" s="2"/>
      <c r="J70" s="6">
        <f t="shared" si="49"/>
        <v>0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/>
      <c r="Q70" s="2"/>
      <c r="R70" s="6">
        <f t="shared" si="52"/>
        <v>0</v>
      </c>
      <c r="S70" s="2"/>
      <c r="T70" s="7">
        <v>0</v>
      </c>
      <c r="U70" s="2"/>
      <c r="V70" s="6">
        <f t="shared" si="53"/>
        <v>0</v>
      </c>
      <c r="W70" s="2"/>
      <c r="X70" s="7">
        <f t="shared" si="54"/>
        <v>0</v>
      </c>
      <c r="Y70" s="2"/>
      <c r="Z70" s="6">
        <f t="shared" si="55"/>
        <v>0</v>
      </c>
    </row>
    <row r="71" spans="1:26" s="24" customFormat="1" hidden="1" outlineLevel="2" x14ac:dyDescent="0.25">
      <c r="A71" s="26"/>
      <c r="B71" s="11" t="str">
        <f>CONCATENATE("          ", "6239", " - ", "KITCHEN SUPPLIES")</f>
        <v xml:space="preserve">          6239 - KITCHEN SUPPLIES</v>
      </c>
      <c r="C71" s="11"/>
      <c r="D71" s="7"/>
      <c r="E71" s="2"/>
      <c r="F71" s="6">
        <f t="shared" si="48"/>
        <v>0</v>
      </c>
      <c r="G71" s="2"/>
      <c r="H71" s="7">
        <v>0</v>
      </c>
      <c r="I71" s="2"/>
      <c r="J71" s="6">
        <f t="shared" si="49"/>
        <v>0</v>
      </c>
      <c r="K71" s="2"/>
      <c r="L71" s="7">
        <f t="shared" si="50"/>
        <v>0</v>
      </c>
      <c r="M71" s="2"/>
      <c r="N71" s="6">
        <f t="shared" si="51"/>
        <v>0</v>
      </c>
      <c r="O71" s="11"/>
      <c r="P71" s="7"/>
      <c r="Q71" s="2"/>
      <c r="R71" s="6">
        <f t="shared" si="52"/>
        <v>0</v>
      </c>
      <c r="S71" s="2"/>
      <c r="T71" s="7">
        <v>0</v>
      </c>
      <c r="U71" s="2"/>
      <c r="V71" s="6">
        <f t="shared" si="53"/>
        <v>0</v>
      </c>
      <c r="W71" s="2"/>
      <c r="X71" s="7">
        <f t="shared" si="54"/>
        <v>0</v>
      </c>
      <c r="Y71" s="2"/>
      <c r="Z71" s="6">
        <f t="shared" si="55"/>
        <v>0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48"/>
        <v>0</v>
      </c>
      <c r="G72" s="2"/>
      <c r="H72" s="7">
        <v>0</v>
      </c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-29200.77</v>
      </c>
      <c r="Q72" s="2"/>
      <c r="R72" s="6">
        <f t="shared" si="52"/>
        <v>0</v>
      </c>
      <c r="S72" s="2"/>
      <c r="T72" s="7">
        <v>0</v>
      </c>
      <c r="U72" s="2"/>
      <c r="V72" s="6">
        <f t="shared" si="53"/>
        <v>0</v>
      </c>
      <c r="W72" s="2"/>
      <c r="X72" s="7">
        <f t="shared" si="54"/>
        <v>-29200.77</v>
      </c>
      <c r="Y72" s="2"/>
      <c r="Z72" s="6">
        <f t="shared" si="55"/>
        <v>0</v>
      </c>
    </row>
    <row r="73" spans="1:26" s="24" customFormat="1" hidden="1" outlineLevel="2" x14ac:dyDescent="0.25">
      <c r="A73" s="26"/>
      <c r="B73" s="11" t="str">
        <f>CONCATENATE("          ", "6246", " - ", "REPLACEMENTS")</f>
        <v xml:space="preserve">          6246 - REPLACEMENTS</v>
      </c>
      <c r="C73" s="11"/>
      <c r="D73" s="7"/>
      <c r="E73" s="2"/>
      <c r="F73" s="6">
        <f t="shared" si="48"/>
        <v>0</v>
      </c>
      <c r="G73" s="2"/>
      <c r="H73" s="7">
        <v>0</v>
      </c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/>
      <c r="Q73" s="2"/>
      <c r="R73" s="6">
        <f t="shared" si="52"/>
        <v>0</v>
      </c>
      <c r="S73" s="2"/>
      <c r="T73" s="7">
        <v>0</v>
      </c>
      <c r="U73" s="2"/>
      <c r="V73" s="6">
        <f t="shared" si="53"/>
        <v>0</v>
      </c>
      <c r="W73" s="2"/>
      <c r="X73" s="7">
        <f t="shared" si="54"/>
        <v>0</v>
      </c>
      <c r="Y73" s="2"/>
      <c r="Z73" s="6">
        <f t="shared" si="55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8"/>
        <v>0</v>
      </c>
      <c r="G74" s="2"/>
      <c r="H74" s="7">
        <v>0</v>
      </c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/>
      <c r="Q74" s="2"/>
      <c r="R74" s="6">
        <f t="shared" si="52"/>
        <v>0</v>
      </c>
      <c r="S74" s="2"/>
      <c r="T74" s="7">
        <v>0</v>
      </c>
      <c r="U74" s="2"/>
      <c r="V74" s="6">
        <f t="shared" si="53"/>
        <v>0</v>
      </c>
      <c r="W74" s="2"/>
      <c r="X74" s="7">
        <f t="shared" si="54"/>
        <v>0</v>
      </c>
      <c r="Y74" s="2"/>
      <c r="Z74" s="6">
        <f t="shared" si="55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/>
      <c r="Q75" s="2"/>
      <c r="R75" s="6">
        <f t="shared" si="52"/>
        <v>0</v>
      </c>
      <c r="S75" s="2"/>
      <c r="T75" s="7">
        <v>0</v>
      </c>
      <c r="U75" s="2"/>
      <c r="V75" s="6">
        <f t="shared" si="53"/>
        <v>0</v>
      </c>
      <c r="W75" s="2"/>
      <c r="X75" s="7">
        <f t="shared" si="54"/>
        <v>0</v>
      </c>
      <c r="Y75" s="2"/>
      <c r="Z75" s="6">
        <f t="shared" si="55"/>
        <v>0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94.6</v>
      </c>
      <c r="E76" s="1"/>
      <c r="F76" s="5">
        <f t="shared" ref="F76:F81" si="56">IF(D$12=0,0,D76/D$12)</f>
        <v>0</v>
      </c>
      <c r="G76" s="1"/>
      <c r="H76" s="1">
        <f>SUM(OSRRefH22_13x_0)</f>
        <v>50</v>
      </c>
      <c r="I76" s="1"/>
      <c r="J76" s="5">
        <f t="shared" ref="J76:J81" si="57">IF(H$12=0,0,H76/H$12)</f>
        <v>0</v>
      </c>
      <c r="K76" s="1"/>
      <c r="L76" s="1">
        <f t="shared" ref="L76:L81" si="58">+D76-H76</f>
        <v>44.599999999999994</v>
      </c>
      <c r="M76" s="1"/>
      <c r="N76" s="5">
        <f t="shared" ref="N76:N81" si="59">IF(H76=0,0,L76/H76)</f>
        <v>0.8919999999999999</v>
      </c>
      <c r="O76" s="13"/>
      <c r="P76" s="1">
        <f>SUM(OSRRefP22_13x_0)</f>
        <v>1763.23</v>
      </c>
      <c r="Q76" s="1"/>
      <c r="R76" s="5">
        <f t="shared" ref="R76:R81" si="60">IF(P$12=0,0,P76/P$12)</f>
        <v>0</v>
      </c>
      <c r="S76" s="1"/>
      <c r="T76" s="1">
        <f>SUM(OSRRefT22_13x_0)</f>
        <v>500</v>
      </c>
      <c r="U76" s="1"/>
      <c r="V76" s="5">
        <f t="shared" ref="V76:V81" si="61">IF(T$12=0,0,T76/T$12)</f>
        <v>0</v>
      </c>
      <c r="W76" s="1"/>
      <c r="X76" s="1">
        <f t="shared" ref="X76:X81" si="62">+P76-T76</f>
        <v>1263.23</v>
      </c>
      <c r="Y76" s="1"/>
      <c r="Z76" s="5">
        <f t="shared" ref="Z76:Z81" si="63">IF(T76=0,0,X76/T76)</f>
        <v>2.5264600000000002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94.6</v>
      </c>
      <c r="E77" s="2"/>
      <c r="F77" s="6">
        <f t="shared" si="56"/>
        <v>0</v>
      </c>
      <c r="G77" s="2"/>
      <c r="H77" s="7">
        <v>50</v>
      </c>
      <c r="I77" s="2"/>
      <c r="J77" s="6">
        <f t="shared" si="57"/>
        <v>0</v>
      </c>
      <c r="K77" s="2"/>
      <c r="L77" s="7">
        <f t="shared" si="58"/>
        <v>44.599999999999994</v>
      </c>
      <c r="M77" s="2"/>
      <c r="N77" s="6">
        <f t="shared" si="59"/>
        <v>0.8919999999999999</v>
      </c>
      <c r="O77" s="11"/>
      <c r="P77" s="7">
        <v>1763.23</v>
      </c>
      <c r="Q77" s="2"/>
      <c r="R77" s="6">
        <f t="shared" si="60"/>
        <v>0</v>
      </c>
      <c r="S77" s="2"/>
      <c r="T77" s="7">
        <v>500</v>
      </c>
      <c r="U77" s="2"/>
      <c r="V77" s="6">
        <f t="shared" si="61"/>
        <v>0</v>
      </c>
      <c r="W77" s="2"/>
      <c r="X77" s="7">
        <f t="shared" si="62"/>
        <v>1263.23</v>
      </c>
      <c r="Y77" s="2"/>
      <c r="Z77" s="6">
        <f t="shared" si="63"/>
        <v>2.5264600000000002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SUM(OSRRefD22_14x_0)</f>
        <v>0</v>
      </c>
      <c r="E78" s="1"/>
      <c r="F78" s="5">
        <f t="shared" si="56"/>
        <v>0</v>
      </c>
      <c r="G78" s="1"/>
      <c r="H78" s="1">
        <f>SUM(OSRRefH22_14x_0)</f>
        <v>0</v>
      </c>
      <c r="I78" s="1"/>
      <c r="J78" s="5">
        <f t="shared" si="57"/>
        <v>0</v>
      </c>
      <c r="K78" s="1"/>
      <c r="L78" s="1">
        <f t="shared" si="58"/>
        <v>0</v>
      </c>
      <c r="M78" s="1"/>
      <c r="N78" s="5">
        <f t="shared" si="59"/>
        <v>0</v>
      </c>
      <c r="O78" s="13"/>
      <c r="P78" s="1">
        <f>SUM(OSRRefP22_14x_0)</f>
        <v>332.21</v>
      </c>
      <c r="Q78" s="1"/>
      <c r="R78" s="5">
        <f t="shared" si="60"/>
        <v>0</v>
      </c>
      <c r="S78" s="1"/>
      <c r="T78" s="1">
        <f>SUM(OSRRefT22_14x_0)</f>
        <v>0</v>
      </c>
      <c r="U78" s="1"/>
      <c r="V78" s="5">
        <f t="shared" si="61"/>
        <v>0</v>
      </c>
      <c r="W78" s="1"/>
      <c r="X78" s="1">
        <f t="shared" si="62"/>
        <v>332.21</v>
      </c>
      <c r="Y78" s="1"/>
      <c r="Z78" s="5">
        <f t="shared" si="63"/>
        <v>0</v>
      </c>
    </row>
    <row r="79" spans="1:26" s="24" customFormat="1" hidden="1" outlineLevel="2" x14ac:dyDescent="0.25">
      <c r="A79" s="26"/>
      <c r="B79" s="11" t="str">
        <f>CONCATENATE("          ", "6298", " - ", "VEHICLE MILEAGE")</f>
        <v xml:space="preserve">          6298 - VEHICLE MILEAGE</v>
      </c>
      <c r="C79" s="11"/>
      <c r="D79" s="7"/>
      <c r="E79" s="2"/>
      <c r="F79" s="6">
        <f t="shared" si="56"/>
        <v>0</v>
      </c>
      <c r="G79" s="2"/>
      <c r="H79" s="7"/>
      <c r="I79" s="2"/>
      <c r="J79" s="6">
        <f t="shared" si="57"/>
        <v>0</v>
      </c>
      <c r="K79" s="2"/>
      <c r="L79" s="7">
        <f t="shared" si="58"/>
        <v>0</v>
      </c>
      <c r="M79" s="2"/>
      <c r="N79" s="6">
        <f t="shared" si="59"/>
        <v>0</v>
      </c>
      <c r="O79" s="11"/>
      <c r="P79" s="7">
        <v>332.21</v>
      </c>
      <c r="Q79" s="2"/>
      <c r="R79" s="6">
        <f t="shared" si="60"/>
        <v>0</v>
      </c>
      <c r="S79" s="2"/>
      <c r="T79" s="7"/>
      <c r="U79" s="2"/>
      <c r="V79" s="6">
        <f t="shared" si="61"/>
        <v>0</v>
      </c>
      <c r="W79" s="2"/>
      <c r="X79" s="7">
        <f t="shared" si="62"/>
        <v>332.21</v>
      </c>
      <c r="Y79" s="2"/>
      <c r="Z79" s="6">
        <f t="shared" si="63"/>
        <v>0</v>
      </c>
    </row>
    <row r="80" spans="1:26" s="25" customFormat="1" outlineLevel="1" collapsed="1" x14ac:dyDescent="0.25">
      <c r="A80" s="27"/>
      <c r="B80" s="13" t="str">
        <f>CONCATENATE("     ","Utilities                                         ")</f>
        <v xml:space="preserve">     Utilities                                         </v>
      </c>
      <c r="C80" s="13"/>
      <c r="D80" s="1">
        <f>SUM(OSRRefD22_15x_0)</f>
        <v>1000</v>
      </c>
      <c r="E80" s="1"/>
      <c r="F80" s="5">
        <f t="shared" si="56"/>
        <v>0</v>
      </c>
      <c r="G80" s="1"/>
      <c r="H80" s="1">
        <f>SUM(OSRRefH22_15x_0)</f>
        <v>1000</v>
      </c>
      <c r="I80" s="1"/>
      <c r="J80" s="5">
        <f t="shared" si="57"/>
        <v>0</v>
      </c>
      <c r="K80" s="1"/>
      <c r="L80" s="1">
        <f t="shared" si="58"/>
        <v>0</v>
      </c>
      <c r="M80" s="1"/>
      <c r="N80" s="5">
        <f t="shared" si="59"/>
        <v>0</v>
      </c>
      <c r="O80" s="13"/>
      <c r="P80" s="1">
        <f>SUM(OSRRefP22_15x_0)</f>
        <v>-10039</v>
      </c>
      <c r="Q80" s="1"/>
      <c r="R80" s="5">
        <f t="shared" si="60"/>
        <v>0</v>
      </c>
      <c r="S80" s="1"/>
      <c r="T80" s="1">
        <f>SUM(OSRRefT22_15x_0)</f>
        <v>10000</v>
      </c>
      <c r="U80" s="1"/>
      <c r="V80" s="5">
        <f t="shared" si="61"/>
        <v>0</v>
      </c>
      <c r="W80" s="1"/>
      <c r="X80" s="1">
        <f t="shared" si="62"/>
        <v>-20039</v>
      </c>
      <c r="Y80" s="1"/>
      <c r="Z80" s="5">
        <f t="shared" si="63"/>
        <v>-2.0038999999999998</v>
      </c>
    </row>
    <row r="81" spans="1:26" s="24" customFormat="1" hidden="1" outlineLevel="2" x14ac:dyDescent="0.25">
      <c r="A81" s="26"/>
      <c r="B81" s="11" t="str">
        <f>CONCATENATE("          ", "6274", " - ", "UTILITIES")</f>
        <v xml:space="preserve">          6274 - UTILITIES</v>
      </c>
      <c r="C81" s="11"/>
      <c r="D81" s="7">
        <v>1000</v>
      </c>
      <c r="E81" s="2"/>
      <c r="F81" s="6">
        <f t="shared" si="56"/>
        <v>0</v>
      </c>
      <c r="G81" s="2"/>
      <c r="H81" s="7">
        <v>1000</v>
      </c>
      <c r="I81" s="2"/>
      <c r="J81" s="6">
        <f t="shared" si="57"/>
        <v>0</v>
      </c>
      <c r="K81" s="2"/>
      <c r="L81" s="7">
        <f t="shared" si="58"/>
        <v>0</v>
      </c>
      <c r="M81" s="2"/>
      <c r="N81" s="6">
        <f t="shared" si="59"/>
        <v>0</v>
      </c>
      <c r="O81" s="11"/>
      <c r="P81" s="7">
        <v>-10039</v>
      </c>
      <c r="Q81" s="2"/>
      <c r="R81" s="6">
        <f t="shared" si="60"/>
        <v>0</v>
      </c>
      <c r="S81" s="2"/>
      <c r="T81" s="7">
        <v>10000</v>
      </c>
      <c r="U81" s="2"/>
      <c r="V81" s="6">
        <f t="shared" si="61"/>
        <v>0</v>
      </c>
      <c r="W81" s="2"/>
      <c r="X81" s="7">
        <f t="shared" si="62"/>
        <v>-20039</v>
      </c>
      <c r="Y81" s="2"/>
      <c r="Z81" s="6">
        <f t="shared" si="63"/>
        <v>-2.0038999999999998</v>
      </c>
    </row>
    <row r="82" spans="1:26" s="61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293</v>
      </c>
      <c r="C83" s="10"/>
      <c r="D83" s="4">
        <f>SUM(OSRRefD25x_0)</f>
        <v>496.99</v>
      </c>
      <c r="E83" s="4"/>
      <c r="F83" s="12">
        <f t="shared" ref="F83:F85" si="64">IF(D$12=0,0,D83/D$12)</f>
        <v>0</v>
      </c>
      <c r="G83" s="4"/>
      <c r="H83" s="4">
        <f>SUM(OSRRefH25x_0)</f>
        <v>0</v>
      </c>
      <c r="I83" s="4"/>
      <c r="J83" s="12">
        <f t="shared" ref="J83:J85" si="65">IF(H$12=0,0,H83/H$12)</f>
        <v>0</v>
      </c>
      <c r="K83" s="4"/>
      <c r="L83" s="4">
        <f t="shared" ref="L83:L85" si="66">+D83-H83</f>
        <v>496.99</v>
      </c>
      <c r="M83" s="4"/>
      <c r="N83" s="12">
        <f t="shared" ref="N83:N85" si="67">IF(H83=0,0,L83/H83)</f>
        <v>0</v>
      </c>
      <c r="O83" s="10"/>
      <c r="P83" s="4">
        <f>SUM(OSRRefP25x_0)</f>
        <v>6046.4100000000008</v>
      </c>
      <c r="Q83" s="4"/>
      <c r="R83" s="12">
        <f t="shared" ref="R83:R85" si="68">IF(P$12=0,0,P83/P$12)</f>
        <v>0</v>
      </c>
      <c r="S83" s="4"/>
      <c r="T83" s="4">
        <f>SUM(OSRRefT25x_0)</f>
        <v>0</v>
      </c>
      <c r="U83" s="4"/>
      <c r="V83" s="12">
        <f t="shared" ref="V83:V85" si="69">IF(T$12=0,0,T83/T$12)</f>
        <v>0</v>
      </c>
      <c r="W83" s="4"/>
      <c r="X83" s="4">
        <f t="shared" ref="X83:X85" si="70">+P83-T83</f>
        <v>6046.4100000000008</v>
      </c>
      <c r="Y83" s="4"/>
      <c r="Z83" s="12">
        <f t="shared" ref="Z83:Z85" si="71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--496.99</f>
        <v>496.99</v>
      </c>
      <c r="E84" s="2"/>
      <c r="F84" s="19">
        <f t="shared" si="64"/>
        <v>0</v>
      </c>
      <c r="G84" s="2"/>
      <c r="H84" s="2">
        <v>0</v>
      </c>
      <c r="I84" s="2"/>
      <c r="J84" s="19">
        <f t="shared" si="65"/>
        <v>0</v>
      </c>
      <c r="K84" s="2"/>
      <c r="L84" s="2">
        <f t="shared" si="66"/>
        <v>496.99</v>
      </c>
      <c r="M84" s="2"/>
      <c r="N84" s="19">
        <f t="shared" si="67"/>
        <v>0</v>
      </c>
      <c r="O84" s="11"/>
      <c r="P84" s="2">
        <f>--5230.06</f>
        <v>5230.0600000000004</v>
      </c>
      <c r="Q84" s="2"/>
      <c r="R84" s="19">
        <f t="shared" si="68"/>
        <v>0</v>
      </c>
      <c r="S84" s="2"/>
      <c r="T84" s="2">
        <v>0</v>
      </c>
      <c r="U84" s="2"/>
      <c r="V84" s="19">
        <f t="shared" si="69"/>
        <v>0</v>
      </c>
      <c r="W84" s="2"/>
      <c r="X84" s="2">
        <f t="shared" si="70"/>
        <v>5230.0600000000004</v>
      </c>
      <c r="Y84" s="2"/>
      <c r="Z84" s="19">
        <f t="shared" si="71"/>
        <v>0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64"/>
        <v>0</v>
      </c>
      <c r="G85" s="2"/>
      <c r="H85" s="2"/>
      <c r="I85" s="2"/>
      <c r="J85" s="19">
        <f t="shared" si="65"/>
        <v>0</v>
      </c>
      <c r="K85" s="2"/>
      <c r="L85" s="2">
        <f t="shared" si="66"/>
        <v>0</v>
      </c>
      <c r="M85" s="2"/>
      <c r="N85" s="19">
        <f t="shared" si="67"/>
        <v>0</v>
      </c>
      <c r="O85" s="11"/>
      <c r="P85" s="2">
        <f>--816.35</f>
        <v>816.35</v>
      </c>
      <c r="Q85" s="2"/>
      <c r="R85" s="19">
        <f t="shared" si="68"/>
        <v>0</v>
      </c>
      <c r="S85" s="2"/>
      <c r="T85" s="2"/>
      <c r="U85" s="2"/>
      <c r="V85" s="19">
        <f t="shared" si="69"/>
        <v>0</v>
      </c>
      <c r="W85" s="2"/>
      <c r="X85" s="2">
        <f t="shared" si="70"/>
        <v>816.35</v>
      </c>
      <c r="Y85" s="2"/>
      <c r="Z85" s="19">
        <f t="shared" si="71"/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277</v>
      </c>
      <c r="C87" s="28"/>
      <c r="D87" s="21">
        <f>+D16-D18+D83</f>
        <v>-37640.359999999993</v>
      </c>
      <c r="E87" s="14"/>
      <c r="F87" s="20">
        <f>IF(D$12=0,0,D87/D$12)</f>
        <v>0</v>
      </c>
      <c r="G87" s="14"/>
      <c r="H87" s="21">
        <f>+H16-H18+H83</f>
        <v>-18113.076923076922</v>
      </c>
      <c r="I87" s="14"/>
      <c r="J87" s="20">
        <f>IF(H$12=0,0,H87/H$12)</f>
        <v>0</v>
      </c>
      <c r="K87" s="16"/>
      <c r="L87" s="21">
        <f>+D87-H87</f>
        <v>-19527.283076923071</v>
      </c>
      <c r="M87" s="16"/>
      <c r="N87" s="20">
        <f>IF(H87=0,0,L87/H87)</f>
        <v>1.0780765277954727</v>
      </c>
      <c r="O87" s="29"/>
      <c r="P87" s="21">
        <f>+P16-P18+P83</f>
        <v>-285404.31</v>
      </c>
      <c r="Q87" s="14"/>
      <c r="R87" s="20">
        <f>IF(P$12=0,0,P87/P$12)</f>
        <v>0</v>
      </c>
      <c r="S87" s="14"/>
      <c r="T87" s="21">
        <f>+T16-T18+T83</f>
        <v>-179326.07692307691</v>
      </c>
      <c r="U87" s="14"/>
      <c r="V87" s="20">
        <f>IF(T$12=0,0,T87/T$12)</f>
        <v>0</v>
      </c>
      <c r="W87" s="16"/>
      <c r="X87" s="21">
        <f>+P87-T87</f>
        <v>-106078.23307692309</v>
      </c>
      <c r="Y87" s="16"/>
      <c r="Z87" s="20">
        <f>IF(T87=0,0,X87/T87)</f>
        <v>0.59153824640030483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/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/>
      <c r="Q89" s="4"/>
      <c r="R89" s="12">
        <f>IF(P$12=0,0,P89/P$12)</f>
        <v>0</v>
      </c>
      <c r="S89" s="4"/>
      <c r="T89" s="4"/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126</v>
      </c>
      <c r="C91" s="28"/>
      <c r="D91" s="31">
        <f>+D87-D89</f>
        <v>-37640.359999999993</v>
      </c>
      <c r="E91" s="14"/>
      <c r="F91" s="33">
        <f>IF(D$12=0,0,D91/D$12)</f>
        <v>0</v>
      </c>
      <c r="G91" s="14"/>
      <c r="H91" s="31">
        <f>+H87-H89</f>
        <v>-18113.076923076922</v>
      </c>
      <c r="I91" s="14"/>
      <c r="J91" s="33">
        <f>IF(H$12=0,0,H91/H$12)</f>
        <v>0</v>
      </c>
      <c r="K91" s="16"/>
      <c r="L91" s="31">
        <f>D91-H91</f>
        <v>-19527.283076923071</v>
      </c>
      <c r="M91" s="16"/>
      <c r="N91" s="33">
        <f>IF(H91=0,0,L91/H91)</f>
        <v>1.0780765277954727</v>
      </c>
      <c r="O91" s="29"/>
      <c r="P91" s="31">
        <f>+P87-P89</f>
        <v>-285404.31</v>
      </c>
      <c r="Q91" s="14"/>
      <c r="R91" s="33">
        <f>IF(P$12=0,0,P91/P$12)</f>
        <v>0</v>
      </c>
      <c r="S91" s="14"/>
      <c r="T91" s="31">
        <f>+T87-T89</f>
        <v>-179326.07692307691</v>
      </c>
      <c r="U91" s="14"/>
      <c r="V91" s="33">
        <f>IF(T$12=0,0,T91/T$12)</f>
        <v>0</v>
      </c>
      <c r="W91" s="16"/>
      <c r="X91" s="31">
        <f>P91-T91</f>
        <v>-106078.23307692309</v>
      </c>
      <c r="Y91" s="16"/>
      <c r="Z91" s="33">
        <f>IF(T91=0,0,X91/T91)</f>
        <v>0.59153824640030483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294</v>
      </c>
      <c r="C94" s="28"/>
      <c r="D94" s="34">
        <f>SUM(D91:D93)</f>
        <v>-37640.359999999993</v>
      </c>
      <c r="E94" s="14"/>
      <c r="F94" s="35">
        <f>IF(D$12=0,0,D94/D$12)</f>
        <v>0</v>
      </c>
      <c r="G94" s="14"/>
      <c r="H94" s="34">
        <f>SUM(H91:H93)</f>
        <v>-18113.076923076922</v>
      </c>
      <c r="I94" s="14"/>
      <c r="J94" s="35">
        <f>IF(H$12=0,0,H94/H$12)</f>
        <v>0</v>
      </c>
      <c r="K94" s="16"/>
      <c r="L94" s="34">
        <f>+D94-H94</f>
        <v>-19527.283076923071</v>
      </c>
      <c r="M94" s="16"/>
      <c r="N94" s="35">
        <f>IF(H94=0,0,L94/H94)</f>
        <v>1.0780765277954727</v>
      </c>
      <c r="O94" s="29"/>
      <c r="P94" s="34">
        <f>SUM(P91:P93)</f>
        <v>-285404.31</v>
      </c>
      <c r="Q94" s="14"/>
      <c r="R94" s="35">
        <f>IF(P$12=0,0,P94/P$12)</f>
        <v>0</v>
      </c>
      <c r="S94" s="14"/>
      <c r="T94" s="34">
        <f>SUM(T91:T93)</f>
        <v>-179326.07692307691</v>
      </c>
      <c r="U94" s="14"/>
      <c r="V94" s="35">
        <f>IF(T$12=0,0,T94/T$12)</f>
        <v>0</v>
      </c>
      <c r="W94" s="16"/>
      <c r="X94" s="34">
        <f>+P94-T94</f>
        <v>-106078.23307692309</v>
      </c>
      <c r="Y94" s="16"/>
      <c r="Z94" s="35">
        <f>IF(T94=0,0,X94/T94)</f>
        <v>0.59153824640030483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2">
        <v>44330.0058283912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6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5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>
        <f>D12-D15</f>
        <v>0</v>
      </c>
      <c r="E18" s="14"/>
      <c r="F18" s="20">
        <f>IF(D$12=0,0,D18/D$12)</f>
        <v>0</v>
      </c>
      <c r="G18" s="14"/>
      <c r="H18" s="21">
        <f>H12-H15</f>
        <v>0</v>
      </c>
      <c r="I18" s="14"/>
      <c r="J18" s="20">
        <f>IF(H$12=0,0,H18/H$12)</f>
        <v>0</v>
      </c>
      <c r="K18" s="16"/>
      <c r="L18" s="21">
        <f>+D18-H18</f>
        <v>0</v>
      </c>
      <c r="M18" s="16"/>
      <c r="N18" s="20">
        <f>IF(H18=0,0,L18/H18)</f>
        <v>0</v>
      </c>
      <c r="O18" s="29"/>
      <c r="P18" s="21">
        <f>P12-P15</f>
        <v>0</v>
      </c>
      <c r="Q18" s="14"/>
      <c r="R18" s="20">
        <f>IF(P$12=0,0,P18/P$12)</f>
        <v>0</v>
      </c>
      <c r="S18" s="14"/>
      <c r="T18" s="21">
        <f>T12-T15</f>
        <v>0</v>
      </c>
      <c r="U18" s="14"/>
      <c r="V18" s="20">
        <f>IF(T$12=0,0,T18/T$12)</f>
        <v>0</v>
      </c>
      <c r="W18" s="16"/>
      <c r="X18" s="21">
        <f>+P18-T18</f>
        <v>0</v>
      </c>
      <c r="Y18" s="16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>
        <f>SUM(OSRRefD22x_0)</f>
        <v>613.36</v>
      </c>
      <c r="E20" s="22"/>
      <c r="F20" s="32">
        <f t="shared" ref="F20:F29" si="12">IF(D$12=0,0,D20/D$12)</f>
        <v>0</v>
      </c>
      <c r="G20" s="22"/>
      <c r="H20" s="22">
        <f>SUM(OSRRefH22x_0)</f>
        <v>848</v>
      </c>
      <c r="I20" s="22"/>
      <c r="J20" s="32">
        <f t="shared" ref="J20:J29" si="13">IF(H$12=0,0,H20/H$12)</f>
        <v>0</v>
      </c>
      <c r="K20" s="4"/>
      <c r="L20" s="22">
        <f t="shared" ref="L20:L29" si="14">+D20-H20</f>
        <v>-234.64</v>
      </c>
      <c r="M20" s="4"/>
      <c r="N20" s="32">
        <f t="shared" ref="N20:N29" si="15">IF(H20=0,0,L20/H20)</f>
        <v>-0.27669811320754717</v>
      </c>
      <c r="O20" s="10"/>
      <c r="P20" s="22">
        <f>SUM(OSRRefP22x_0)</f>
        <v>8563.57</v>
      </c>
      <c r="Q20" s="22"/>
      <c r="R20" s="32">
        <f t="shared" ref="R20:R29" si="16">IF(P$12=0,0,P20/P$12)</f>
        <v>0</v>
      </c>
      <c r="S20" s="22"/>
      <c r="T20" s="22">
        <f>SUM(OSRRefT22x_0)</f>
        <v>8480</v>
      </c>
      <c r="U20" s="22"/>
      <c r="V20" s="32">
        <f t="shared" ref="V20:V29" si="17">IF(T$12=0,0,T20/T$12)</f>
        <v>0</v>
      </c>
      <c r="W20" s="4"/>
      <c r="X20" s="22">
        <f t="shared" ref="X20:X29" si="18">+P20-T20</f>
        <v>83.569999999999709</v>
      </c>
      <c r="Y20" s="4"/>
      <c r="Z20" s="32">
        <f t="shared" ref="Z20:Z29" si="19">IF(T20=0,0,X20/T20)</f>
        <v>9.8549528301886454E-3</v>
      </c>
    </row>
    <row r="21" spans="1:26" s="25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3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3"/>
      <c r="P45" s="1">
        <f>SUM(OSRRefP22_4x_0)</f>
        <v>6112.59</v>
      </c>
      <c r="Q45" s="1"/>
      <c r="R45" s="5">
        <f t="shared" si="32"/>
        <v>0</v>
      </c>
      <c r="S45" s="1"/>
      <c r="T45" s="1">
        <f>SUM(OSRRefT22_4x_0)</f>
        <v>8480</v>
      </c>
      <c r="U45" s="1"/>
      <c r="V45" s="5">
        <f t="shared" si="33"/>
        <v>0</v>
      </c>
      <c r="W45" s="1"/>
      <c r="X45" s="1">
        <f t="shared" si="34"/>
        <v>-2367.41</v>
      </c>
      <c r="Y45" s="1"/>
      <c r="Z45" s="5">
        <f t="shared" si="35"/>
        <v>-0.2791757075471698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6112.59</v>
      </c>
      <c r="Q46" s="2"/>
      <c r="R46" s="6">
        <f t="shared" si="32"/>
        <v>0</v>
      </c>
      <c r="S46" s="2"/>
      <c r="T46" s="7">
        <v>2980</v>
      </c>
      <c r="U46" s="2"/>
      <c r="V46" s="6">
        <f t="shared" si="33"/>
        <v>0</v>
      </c>
      <c r="W46" s="2"/>
      <c r="X46" s="7">
        <f t="shared" si="34"/>
        <v>3132.59</v>
      </c>
      <c r="Y46" s="2"/>
      <c r="Z46" s="6">
        <f t="shared" si="35"/>
        <v>1.0512046979865772</v>
      </c>
    </row>
    <row r="47" spans="1:26" s="24" customFormat="1" hidden="1" outlineLevel="2" x14ac:dyDescent="0.25">
      <c r="A47" s="26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5500</v>
      </c>
      <c r="U47" s="2"/>
      <c r="V47" s="6">
        <f t="shared" si="33"/>
        <v>0</v>
      </c>
      <c r="W47" s="2"/>
      <c r="X47" s="7">
        <f t="shared" si="34"/>
        <v>-5500</v>
      </c>
      <c r="Y47" s="2"/>
      <c r="Z47" s="6">
        <f t="shared" si="35"/>
        <v>-1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3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3"/>
      <c r="P54" s="1">
        <f>SUM(OSRRefP22_8x_0)</f>
        <v>1677.13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1677.13</v>
      </c>
      <c r="Y54" s="1"/>
      <c r="Z54" s="5">
        <f t="shared" si="43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>
        <v>339</v>
      </c>
      <c r="Q55" s="2"/>
      <c r="R55" s="6">
        <f t="shared" si="40"/>
        <v>0</v>
      </c>
      <c r="S55" s="2"/>
      <c r="T55" s="7">
        <v>0</v>
      </c>
      <c r="U55" s="2"/>
      <c r="V55" s="6">
        <f t="shared" si="41"/>
        <v>0</v>
      </c>
      <c r="W55" s="2"/>
      <c r="X55" s="7">
        <f t="shared" si="42"/>
        <v>339</v>
      </c>
      <c r="Y55" s="2"/>
      <c r="Z55" s="6">
        <f t="shared" si="43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1338.13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1338.13</v>
      </c>
      <c r="Y56" s="2"/>
      <c r="Z56" s="6">
        <f t="shared" si="43"/>
        <v>0</v>
      </c>
    </row>
    <row r="57" spans="1:26" s="25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3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6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5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3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6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3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6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>
        <v>0</v>
      </c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>
        <v>0</v>
      </c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3"/>
      <c r="P70" s="1">
        <f>SUM(OSRRefP22_12x_0)</f>
        <v>437.03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437.03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6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36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36</v>
      </c>
      <c r="M72" s="2"/>
      <c r="N72" s="6">
        <f t="shared" si="63"/>
        <v>0</v>
      </c>
      <c r="O72" s="11"/>
      <c r="P72" s="7">
        <v>437.03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437.03</v>
      </c>
      <c r="Y72" s="2"/>
      <c r="Z72" s="6">
        <f t="shared" si="67"/>
        <v>0</v>
      </c>
    </row>
    <row r="73" spans="1:26" s="25" customFormat="1" outlineLevel="1" collapsed="1" x14ac:dyDescent="0.25">
      <c r="A73" s="27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3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6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293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277</v>
      </c>
      <c r="C78" s="28"/>
      <c r="D78" s="21">
        <f>+D18-D20+D76</f>
        <v>-613.36</v>
      </c>
      <c r="E78" s="14"/>
      <c r="F78" s="20">
        <f>IF(D$12=0,0,D78/D$12)</f>
        <v>0</v>
      </c>
      <c r="G78" s="14"/>
      <c r="H78" s="21">
        <f>+H18-H20+H76</f>
        <v>-848</v>
      </c>
      <c r="I78" s="14"/>
      <c r="J78" s="20">
        <f>IF(H$12=0,0,H78/H$12)</f>
        <v>0</v>
      </c>
      <c r="K78" s="16"/>
      <c r="L78" s="21">
        <f>+D78-H78</f>
        <v>234.64</v>
      </c>
      <c r="M78" s="16"/>
      <c r="N78" s="20">
        <f>IF(H78=0,0,L78/H78)</f>
        <v>-0.27669811320754717</v>
      </c>
      <c r="O78" s="29"/>
      <c r="P78" s="21">
        <f>+P18-P20+P76</f>
        <v>-8563.57</v>
      </c>
      <c r="Q78" s="14"/>
      <c r="R78" s="20">
        <f>IF(P$12=0,0,P78/P$12)</f>
        <v>0</v>
      </c>
      <c r="S78" s="14"/>
      <c r="T78" s="21">
        <f>+T18-T20+T76</f>
        <v>-8480</v>
      </c>
      <c r="U78" s="14"/>
      <c r="V78" s="20">
        <f>IF(T$12=0,0,T78/T$12)</f>
        <v>0</v>
      </c>
      <c r="W78" s="16"/>
      <c r="X78" s="21">
        <f>+P78-T78</f>
        <v>-83.569999999999709</v>
      </c>
      <c r="Y78" s="16"/>
      <c r="Z78" s="20">
        <f>IF(T78=0,0,X78/T78)</f>
        <v>9.8549528301886454E-3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128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126</v>
      </c>
      <c r="C82" s="28"/>
      <c r="D82" s="31">
        <f>+D78-D80</f>
        <v>-613.36</v>
      </c>
      <c r="E82" s="14"/>
      <c r="F82" s="33">
        <f>IF(D$12=0,0,D82/D$12)</f>
        <v>0</v>
      </c>
      <c r="G82" s="14"/>
      <c r="H82" s="31">
        <f>+H78-H80</f>
        <v>-848</v>
      </c>
      <c r="I82" s="14"/>
      <c r="J82" s="33">
        <f>IF(H$12=0,0,H82/H$12)</f>
        <v>0</v>
      </c>
      <c r="K82" s="16"/>
      <c r="L82" s="31">
        <f>D82-H82</f>
        <v>234.64</v>
      </c>
      <c r="M82" s="16"/>
      <c r="N82" s="33">
        <f>IF(H82=0,0,L82/H82)</f>
        <v>-0.27669811320754717</v>
      </c>
      <c r="O82" s="29"/>
      <c r="P82" s="31">
        <f>+P78-P80</f>
        <v>-8563.57</v>
      </c>
      <c r="Q82" s="14"/>
      <c r="R82" s="33">
        <f>IF(P$12=0,0,P82/P$12)</f>
        <v>0</v>
      </c>
      <c r="S82" s="14"/>
      <c r="T82" s="31">
        <f>+T78-T80</f>
        <v>-8480</v>
      </c>
      <c r="U82" s="14"/>
      <c r="V82" s="33">
        <f>IF(T$12=0,0,T82/T$12)</f>
        <v>0</v>
      </c>
      <c r="W82" s="16"/>
      <c r="X82" s="31">
        <f>P82-T82</f>
        <v>-83.569999999999709</v>
      </c>
      <c r="Y82" s="16"/>
      <c r="Z82" s="33">
        <f>IF(T82=0,0,X82/T82)</f>
        <v>9.8549528301886454E-3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294</v>
      </c>
      <c r="C85" s="28"/>
      <c r="D85" s="34">
        <f>SUM(D82:D84)</f>
        <v>-613.36</v>
      </c>
      <c r="E85" s="14"/>
      <c r="F85" s="35">
        <f>IF(D$12=0,0,D85/D$12)</f>
        <v>0</v>
      </c>
      <c r="G85" s="14"/>
      <c r="H85" s="34">
        <f>SUM(H82:H84)</f>
        <v>-848</v>
      </c>
      <c r="I85" s="14"/>
      <c r="J85" s="35">
        <f>IF(H$12=0,0,H85/H$12)</f>
        <v>0</v>
      </c>
      <c r="K85" s="16"/>
      <c r="L85" s="34">
        <f>+D85-H85</f>
        <v>234.64</v>
      </c>
      <c r="M85" s="16"/>
      <c r="N85" s="35">
        <f>IF(H85=0,0,L85/H85)</f>
        <v>-0.27669811320754717</v>
      </c>
      <c r="O85" s="29"/>
      <c r="P85" s="34">
        <f>SUM(P82:P84)</f>
        <v>-8563.57</v>
      </c>
      <c r="Q85" s="14"/>
      <c r="R85" s="35">
        <f>IF(P$12=0,0,P85/P$12)</f>
        <v>0</v>
      </c>
      <c r="S85" s="14"/>
      <c r="T85" s="34">
        <f>SUM(T82:T84)</f>
        <v>-8480</v>
      </c>
      <c r="U85" s="14"/>
      <c r="V85" s="35">
        <f>IF(T$12=0,0,T85/T$12)</f>
        <v>0</v>
      </c>
      <c r="W85" s="16"/>
      <c r="X85" s="34">
        <f>+P85-T85</f>
        <v>-83.569999999999709</v>
      </c>
      <c r="Y85" s="16"/>
      <c r="Z85" s="35">
        <f>IF(T85=0,0,X85/T85)</f>
        <v>9.8549528301886454E-3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2">
        <v>44330.0058283912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6" t="s">
        <v>56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5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1">
        <f>D12-D16</f>
        <v>0</v>
      </c>
      <c r="E19" s="14"/>
      <c r="F19" s="20">
        <f>IF(D$12=0,0,D19/D$12)</f>
        <v>0</v>
      </c>
      <c r="G19" s="14"/>
      <c r="H19" s="21">
        <f>H12-H16</f>
        <v>0</v>
      </c>
      <c r="I19" s="14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9"/>
      <c r="P19" s="21">
        <f>P12-P16</f>
        <v>0</v>
      </c>
      <c r="Q19" s="14"/>
      <c r="R19" s="20">
        <f>IF(P$12=0,0,P19/P$12)</f>
        <v>0</v>
      </c>
      <c r="S19" s="14"/>
      <c r="T19" s="21">
        <f>T12-T16</f>
        <v>0</v>
      </c>
      <c r="U19" s="14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2">
        <f>SUM(OSRRefD22x_0)</f>
        <v>58.03</v>
      </c>
      <c r="E21" s="22"/>
      <c r="F21" s="32">
        <f t="shared" ref="F21:F31" si="14">IF(D$12=0,0,D21/D$12)</f>
        <v>0</v>
      </c>
      <c r="G21" s="22"/>
      <c r="H21" s="22">
        <f>SUM(OSRRefH22x_0)</f>
        <v>630</v>
      </c>
      <c r="I21" s="22"/>
      <c r="J21" s="32">
        <f t="shared" ref="J21:J31" si="15">IF(H$12=0,0,H21/H$12)</f>
        <v>0</v>
      </c>
      <c r="K21" s="4"/>
      <c r="L21" s="22">
        <f t="shared" ref="L21:L31" si="16">+D21-H21</f>
        <v>-571.97</v>
      </c>
      <c r="M21" s="4"/>
      <c r="N21" s="32">
        <f t="shared" ref="N21:N31" si="17">IF(H21=0,0,L21/H21)</f>
        <v>-0.90788888888888897</v>
      </c>
      <c r="O21" s="10"/>
      <c r="P21" s="22">
        <f>SUM(OSRRefP22x_0)</f>
        <v>5245.38</v>
      </c>
      <c r="Q21" s="22"/>
      <c r="R21" s="32">
        <f t="shared" ref="R21:R31" si="18">IF(P$12=0,0,P21/P$12)</f>
        <v>0</v>
      </c>
      <c r="S21" s="22"/>
      <c r="T21" s="22">
        <f>SUM(OSRRefT22x_0)</f>
        <v>6300</v>
      </c>
      <c r="U21" s="22"/>
      <c r="V21" s="32">
        <f t="shared" ref="V21:V31" si="19">IF(T$12=0,0,T21/T$12)</f>
        <v>0</v>
      </c>
      <c r="W21" s="4"/>
      <c r="X21" s="22">
        <f t="shared" ref="X21:X31" si="20">+P21-T21</f>
        <v>-1054.6199999999999</v>
      </c>
      <c r="Y21" s="4"/>
      <c r="Z21" s="32">
        <f t="shared" ref="Z21:Z31" si="21">IF(T21=0,0,X21/T21)</f>
        <v>-0.16739999999999999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3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59" si="30">IF(D$12=0,0,D43/D$12)</f>
        <v>0</v>
      </c>
      <c r="G43" s="1"/>
      <c r="H43" s="1">
        <f>SUM(OSRRefH22_2x_0)</f>
        <v>0</v>
      </c>
      <c r="I43" s="1"/>
      <c r="J43" s="5">
        <f t="shared" ref="J43:J59" si="31">IF(H$12=0,0,H43/H$12)</f>
        <v>0</v>
      </c>
      <c r="K43" s="1"/>
      <c r="L43" s="1">
        <f t="shared" ref="L43:L59" si="32">+D43-H43</f>
        <v>0</v>
      </c>
      <c r="M43" s="1"/>
      <c r="N43" s="5">
        <f t="shared" ref="N43:N59" si="33">IF(H43=0,0,L43/H43)</f>
        <v>0</v>
      </c>
      <c r="O43" s="13"/>
      <c r="P43" s="1">
        <f>SUM(OSRRefP22_2x_0)</f>
        <v>0</v>
      </c>
      <c r="Q43" s="1"/>
      <c r="R43" s="5">
        <f t="shared" ref="R43:R59" si="34">IF(P$12=0,0,P43/P$12)</f>
        <v>0</v>
      </c>
      <c r="S43" s="1"/>
      <c r="T43" s="1">
        <f>SUM(OSRRefT22_2x_0)</f>
        <v>0</v>
      </c>
      <c r="U43" s="1"/>
      <c r="V43" s="5">
        <f t="shared" ref="V43:V59" si="35">IF(T$12=0,0,T43/T$12)</f>
        <v>0</v>
      </c>
      <c r="W43" s="1"/>
      <c r="X43" s="1">
        <f t="shared" ref="X43:X59" si="36">+P43-T43</f>
        <v>0</v>
      </c>
      <c r="Y43" s="1"/>
      <c r="Z43" s="5">
        <f t="shared" ref="Z43:Z59" si="37">IF(T43=0,0,X43/T43)</f>
        <v>0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3"/>
      <c r="P49" s="1">
        <f>SUM(OSRRefP22_5x_0)</f>
        <v>580.29999999999995</v>
      </c>
      <c r="Q49" s="1"/>
      <c r="R49" s="5">
        <f t="shared" si="34"/>
        <v>0</v>
      </c>
      <c r="S49" s="1"/>
      <c r="T49" s="1">
        <f>SUM(OSRRefT22_5x_0)</f>
        <v>6300</v>
      </c>
      <c r="U49" s="1"/>
      <c r="V49" s="5">
        <f t="shared" si="35"/>
        <v>0</v>
      </c>
      <c r="W49" s="1"/>
      <c r="X49" s="1">
        <f t="shared" si="36"/>
        <v>-5719.7</v>
      </c>
      <c r="Y49" s="1"/>
      <c r="Z49" s="5">
        <f t="shared" si="37"/>
        <v>-0.90788888888888886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580.29999999999995</v>
      </c>
      <c r="Q50" s="2"/>
      <c r="R50" s="6">
        <f t="shared" si="34"/>
        <v>0</v>
      </c>
      <c r="S50" s="2"/>
      <c r="T50" s="7">
        <v>6300</v>
      </c>
      <c r="U50" s="2"/>
      <c r="V50" s="6">
        <f t="shared" si="35"/>
        <v>0</v>
      </c>
      <c r="W50" s="2"/>
      <c r="X50" s="7">
        <f t="shared" si="36"/>
        <v>-5719.7</v>
      </c>
      <c r="Y50" s="2"/>
      <c r="Z50" s="6">
        <f t="shared" si="37"/>
        <v>-0.90788888888888886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SUM(OSRRefP22_8x_0)</f>
        <v>575.85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575.85</v>
      </c>
      <c r="Y55" s="1"/>
      <c r="Z55" s="5">
        <f t="shared" si="37"/>
        <v>0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/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0</v>
      </c>
      <c r="Y57" s="2"/>
      <c r="Z57" s="6">
        <f t="shared" si="37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0"/>
        <v>0</v>
      </c>
      <c r="G58" s="2"/>
      <c r="H58" s="7">
        <v>0</v>
      </c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575.85</v>
      </c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575.85</v>
      </c>
      <c r="Y58" s="2"/>
      <c r="Z58" s="6">
        <f t="shared" si="37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0"/>
        <v>0</v>
      </c>
      <c r="G59" s="2"/>
      <c r="H59" s="7"/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/>
      <c r="Q59" s="2"/>
      <c r="R59" s="6">
        <f t="shared" si="34"/>
        <v>0</v>
      </c>
      <c r="S59" s="2"/>
      <c r="T59" s="7">
        <v>0</v>
      </c>
      <c r="U59" s="2"/>
      <c r="V59" s="6">
        <f t="shared" si="35"/>
        <v>0</v>
      </c>
      <c r="W59" s="2"/>
      <c r="X59" s="7">
        <f t="shared" si="36"/>
        <v>0</v>
      </c>
      <c r="Y59" s="2"/>
      <c r="Z59" s="6">
        <f t="shared" si="37"/>
        <v>0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38">IF(D$12=0,0,D60/D$12)</f>
        <v>0</v>
      </c>
      <c r="G60" s="1"/>
      <c r="H60" s="1">
        <f>SUM(OSRRefH22_9x_0)</f>
        <v>0</v>
      </c>
      <c r="I60" s="1"/>
      <c r="J60" s="5">
        <f t="shared" ref="J60:J62" si="39">IF(H$12=0,0,H60/H$12)</f>
        <v>0</v>
      </c>
      <c r="K60" s="1"/>
      <c r="L60" s="1">
        <f t="shared" ref="L60:L62" si="40">+D60-H60</f>
        <v>0</v>
      </c>
      <c r="M60" s="1"/>
      <c r="N60" s="5">
        <f t="shared" ref="N60:N62" si="41">IF(H60=0,0,L60/H60)</f>
        <v>0</v>
      </c>
      <c r="O60" s="13"/>
      <c r="P60" s="1">
        <f>SUM(OSRRefP22_9x_0)</f>
        <v>286.62</v>
      </c>
      <c r="Q60" s="1"/>
      <c r="R60" s="5">
        <f t="shared" ref="R60:R62" si="42">IF(P$12=0,0,P60/P$12)</f>
        <v>0</v>
      </c>
      <c r="S60" s="1"/>
      <c r="T60" s="1">
        <f>SUM(OSRRefT22_9x_0)</f>
        <v>0</v>
      </c>
      <c r="U60" s="1"/>
      <c r="V60" s="5">
        <f t="shared" ref="V60:V62" si="43">IF(T$12=0,0,T60/T$12)</f>
        <v>0</v>
      </c>
      <c r="W60" s="1"/>
      <c r="X60" s="1">
        <f t="shared" ref="X60:X62" si="44">+P60-T60</f>
        <v>286.62</v>
      </c>
      <c r="Y60" s="1"/>
      <c r="Z60" s="5">
        <f t="shared" ref="Z60:Z62" si="45">IF(T60=0,0,X60/T60)</f>
        <v>0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286.62</v>
      </c>
      <c r="Q61" s="2"/>
      <c r="R61" s="6">
        <f t="shared" si="42"/>
        <v>0</v>
      </c>
      <c r="S61" s="2"/>
      <c r="T61" s="7"/>
      <c r="U61" s="2"/>
      <c r="V61" s="6">
        <f t="shared" si="43"/>
        <v>0</v>
      </c>
      <c r="W61" s="2"/>
      <c r="X61" s="7">
        <f t="shared" si="44"/>
        <v>286.62</v>
      </c>
      <c r="Y61" s="2"/>
      <c r="Z61" s="6">
        <f t="shared" si="45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8"/>
        <v>0</v>
      </c>
      <c r="G62" s="2"/>
      <c r="H62" s="7">
        <v>0</v>
      </c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0</v>
      </c>
      <c r="U62" s="2"/>
      <c r="V62" s="6">
        <f t="shared" si="43"/>
        <v>0</v>
      </c>
      <c r="W62" s="2"/>
      <c r="X62" s="7">
        <f t="shared" si="44"/>
        <v>0</v>
      </c>
      <c r="Y62" s="2"/>
      <c r="Z62" s="6">
        <f t="shared" si="45"/>
        <v>0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0</v>
      </c>
      <c r="E63" s="1"/>
      <c r="F63" s="5">
        <f t="shared" ref="F63:F71" si="46">IF(D$12=0,0,D63/D$12)</f>
        <v>0</v>
      </c>
      <c r="G63" s="1"/>
      <c r="H63" s="1">
        <f>SUM(OSRRefH22_10x_0)</f>
        <v>0</v>
      </c>
      <c r="I63" s="1"/>
      <c r="J63" s="5">
        <f t="shared" ref="J63:J71" si="47">IF(H$12=0,0,H63/H$12)</f>
        <v>0</v>
      </c>
      <c r="K63" s="1"/>
      <c r="L63" s="1">
        <f t="shared" ref="L63:L71" si="48">+D63-H63</f>
        <v>0</v>
      </c>
      <c r="M63" s="1"/>
      <c r="N63" s="5">
        <f t="shared" ref="N63:N71" si="49">IF(H63=0,0,L63/H63)</f>
        <v>0</v>
      </c>
      <c r="O63" s="13"/>
      <c r="P63" s="1">
        <f>SUM(OSRRefP22_10x_0)</f>
        <v>0</v>
      </c>
      <c r="Q63" s="1"/>
      <c r="R63" s="5">
        <f t="shared" ref="R63:R71" si="50">IF(P$12=0,0,P63/P$12)</f>
        <v>0</v>
      </c>
      <c r="S63" s="1"/>
      <c r="T63" s="1">
        <f>SUM(OSRRefT22_10x_0)</f>
        <v>0</v>
      </c>
      <c r="U63" s="1"/>
      <c r="V63" s="5">
        <f t="shared" ref="V63:V71" si="51">IF(T$12=0,0,T63/T$12)</f>
        <v>0</v>
      </c>
      <c r="W63" s="1"/>
      <c r="X63" s="1">
        <f t="shared" ref="X63:X71" si="52">+P63-T63</f>
        <v>0</v>
      </c>
      <c r="Y63" s="1"/>
      <c r="Z63" s="5">
        <f t="shared" ref="Z63:Z71" si="53">IF(T63=0,0,X63/T63)</f>
        <v>0</v>
      </c>
    </row>
    <row r="64" spans="1:26" s="24" customFormat="1" hidden="1" outlineLevel="2" x14ac:dyDescent="0.25">
      <c r="A64" s="26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6"/>
      <c r="B65" s="11" t="str">
        <f>CONCATENATE("          ", "6239", " - ", "KITCHEN SUPPLIES")</f>
        <v xml:space="preserve">          6239 - KITCHEN SUPPLIES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25">
      <c r="A68" s="26"/>
      <c r="B68" s="11" t="str">
        <f>CONCATENATE("          ", "6244", " - ", "SAFETY SUPPLY EXPENSE")</f>
        <v xml:space="preserve">          6244 - SAFETY SUPPLY EXPENSE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25">
      <c r="A69" s="26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46"/>
        <v>0</v>
      </c>
      <c r="G70" s="2"/>
      <c r="H70" s="7"/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/>
      <c r="Q71" s="2"/>
      <c r="R71" s="6">
        <f t="shared" si="50"/>
        <v>0</v>
      </c>
      <c r="S71" s="2"/>
      <c r="T71" s="7">
        <v>0</v>
      </c>
      <c r="U71" s="2"/>
      <c r="V71" s="6">
        <f t="shared" si="51"/>
        <v>0</v>
      </c>
      <c r="W71" s="2"/>
      <c r="X71" s="7">
        <f t="shared" si="52"/>
        <v>0</v>
      </c>
      <c r="Y71" s="2"/>
      <c r="Z71" s="6">
        <f t="shared" si="53"/>
        <v>0</v>
      </c>
    </row>
    <row r="72" spans="1:26" s="25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SUM(OSRRefD22_11x_0)</f>
        <v>0</v>
      </c>
      <c r="E72" s="1"/>
      <c r="F72" s="5">
        <f t="shared" ref="F72:F74" si="54">IF(D$12=0,0,D72/D$12)</f>
        <v>0</v>
      </c>
      <c r="G72" s="1"/>
      <c r="H72" s="1">
        <f>SUM(OSRRefH22_11x_0)</f>
        <v>0</v>
      </c>
      <c r="I72" s="1"/>
      <c r="J72" s="5">
        <f t="shared" ref="J72:J74" si="55">IF(H$12=0,0,H72/H$12)</f>
        <v>0</v>
      </c>
      <c r="K72" s="1"/>
      <c r="L72" s="1">
        <f t="shared" ref="L72:L74" si="56">+D72-H72</f>
        <v>0</v>
      </c>
      <c r="M72" s="1"/>
      <c r="N72" s="5">
        <f t="shared" ref="N72:N74" si="57">IF(H72=0,0,L72/H72)</f>
        <v>0</v>
      </c>
      <c r="O72" s="13"/>
      <c r="P72" s="1">
        <f>SUM(OSRRefP22_11x_0)</f>
        <v>49.7</v>
      </c>
      <c r="Q72" s="1"/>
      <c r="R72" s="5">
        <f t="shared" ref="R72:R74" si="58">IF(P$12=0,0,P72/P$12)</f>
        <v>0</v>
      </c>
      <c r="S72" s="1"/>
      <c r="T72" s="1">
        <f>SUM(OSRRefT22_11x_0)</f>
        <v>0</v>
      </c>
      <c r="U72" s="1"/>
      <c r="V72" s="5">
        <f t="shared" ref="V72:V74" si="59">IF(T$12=0,0,T72/T$12)</f>
        <v>0</v>
      </c>
      <c r="W72" s="1"/>
      <c r="X72" s="1">
        <f t="shared" ref="X72:X74" si="60">+P72-T72</f>
        <v>49.7</v>
      </c>
      <c r="Y72" s="1"/>
      <c r="Z72" s="5">
        <f t="shared" ref="Z72:Z74" si="61">IF(T72=0,0,X72/T72)</f>
        <v>0</v>
      </c>
    </row>
    <row r="73" spans="1:26" s="24" customFormat="1" hidden="1" outlineLevel="2" x14ac:dyDescent="0.25">
      <c r="A73" s="26"/>
      <c r="B73" s="11" t="str">
        <f>CONCATENATE("          ", "6303", " - ", "DATA PHONE LINES")</f>
        <v xml:space="preserve">          6303 - DATA PHONE LINES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>
        <v>49.7</v>
      </c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49.7</v>
      </c>
      <c r="Y74" s="2"/>
      <c r="Z74" s="6">
        <f t="shared" si="61"/>
        <v>0</v>
      </c>
    </row>
    <row r="75" spans="1:26" s="25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SUM(OSRRefD22_12x_0)</f>
        <v>0</v>
      </c>
      <c r="E75" s="1"/>
      <c r="F75" s="5">
        <f t="shared" ref="F75:F76" si="62">IF(D$12=0,0,D75/D$12)</f>
        <v>0</v>
      </c>
      <c r="G75" s="1"/>
      <c r="H75" s="1">
        <f>SUM(OSRRefH22_12x_0)</f>
        <v>0</v>
      </c>
      <c r="I75" s="1"/>
      <c r="J75" s="5">
        <f t="shared" ref="J75:J76" si="63">IF(H$12=0,0,H75/H$12)</f>
        <v>0</v>
      </c>
      <c r="K75" s="1"/>
      <c r="L75" s="1">
        <f t="shared" ref="L75:L76" si="64">+D75-H75</f>
        <v>0</v>
      </c>
      <c r="M75" s="1"/>
      <c r="N75" s="5">
        <f t="shared" ref="N75:N76" si="65">IF(H75=0,0,L75/H75)</f>
        <v>0</v>
      </c>
      <c r="O75" s="13"/>
      <c r="P75" s="1">
        <f>SUM(OSRRefP22_12x_0)</f>
        <v>0</v>
      </c>
      <c r="Q75" s="1"/>
      <c r="R75" s="5">
        <f t="shared" ref="R75:R76" si="66">IF(P$12=0,0,P75/P$12)</f>
        <v>0</v>
      </c>
      <c r="S75" s="1"/>
      <c r="T75" s="1">
        <f>SUM(OSRRefT22_12x_0)</f>
        <v>0</v>
      </c>
      <c r="U75" s="1"/>
      <c r="V75" s="5">
        <f t="shared" ref="V75:V76" si="67">IF(T$12=0,0,T75/T$12)</f>
        <v>0</v>
      </c>
      <c r="W75" s="1"/>
      <c r="X75" s="1">
        <f t="shared" ref="X75:X76" si="68">+P75-T75</f>
        <v>0</v>
      </c>
      <c r="Y75" s="1"/>
      <c r="Z75" s="5">
        <f t="shared" ref="Z75:Z76" si="69">IF(T75=0,0,X75/T75)</f>
        <v>0</v>
      </c>
    </row>
    <row r="76" spans="1:26" s="24" customFormat="1" hidden="1" outlineLevel="2" x14ac:dyDescent="0.25">
      <c r="A76" s="26"/>
      <c r="B76" s="11" t="str">
        <f>CONCATENATE("          ", "6292", " - ", "TRAVEL/CONFERENCE")</f>
        <v xml:space="preserve">          6292 - TRAVEL/CONFERENCE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61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277</v>
      </c>
      <c r="C80" s="28"/>
      <c r="D80" s="21">
        <f>+D19-D21+D78</f>
        <v>-58.03</v>
      </c>
      <c r="E80" s="14"/>
      <c r="F80" s="20">
        <f>IF(D$12=0,0,D80/D$12)</f>
        <v>0</v>
      </c>
      <c r="G80" s="14"/>
      <c r="H80" s="21">
        <f>+H19-H21+H78</f>
        <v>-630</v>
      </c>
      <c r="I80" s="14"/>
      <c r="J80" s="20">
        <f>IF(H$12=0,0,H80/H$12)</f>
        <v>0</v>
      </c>
      <c r="K80" s="16"/>
      <c r="L80" s="21">
        <f>+D80-H80</f>
        <v>571.97</v>
      </c>
      <c r="M80" s="16"/>
      <c r="N80" s="20">
        <f>IF(H80=0,0,L80/H80)</f>
        <v>-0.90788888888888897</v>
      </c>
      <c r="O80" s="29"/>
      <c r="P80" s="21">
        <f>+P19-P21+P78</f>
        <v>-5245.38</v>
      </c>
      <c r="Q80" s="14"/>
      <c r="R80" s="20">
        <f>IF(P$12=0,0,P80/P$12)</f>
        <v>0</v>
      </c>
      <c r="S80" s="14"/>
      <c r="T80" s="21">
        <f>+T19-T21+T78</f>
        <v>-6300</v>
      </c>
      <c r="U80" s="14"/>
      <c r="V80" s="20">
        <f>IF(T$12=0,0,T80/T$12)</f>
        <v>0</v>
      </c>
      <c r="W80" s="16"/>
      <c r="X80" s="21">
        <f>+P80-T80</f>
        <v>1054.6199999999999</v>
      </c>
      <c r="Y80" s="16"/>
      <c r="Z80" s="20">
        <f>IF(T80=0,0,X80/T80)</f>
        <v>-0.16739999999999999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126</v>
      </c>
      <c r="C84" s="28"/>
      <c r="D84" s="31">
        <f>+D80-D82</f>
        <v>-58.03</v>
      </c>
      <c r="E84" s="14"/>
      <c r="F84" s="33">
        <f>IF(D$12=0,0,D84/D$12)</f>
        <v>0</v>
      </c>
      <c r="G84" s="14"/>
      <c r="H84" s="31">
        <f>+H80-H82</f>
        <v>-630</v>
      </c>
      <c r="I84" s="14"/>
      <c r="J84" s="33">
        <f>IF(H$12=0,0,H84/H$12)</f>
        <v>0</v>
      </c>
      <c r="K84" s="16"/>
      <c r="L84" s="31">
        <f>D84-H84</f>
        <v>571.97</v>
      </c>
      <c r="M84" s="16"/>
      <c r="N84" s="33">
        <f>IF(H84=0,0,L84/H84)</f>
        <v>-0.90788888888888897</v>
      </c>
      <c r="O84" s="29"/>
      <c r="P84" s="31">
        <f>+P80-P82</f>
        <v>-5245.38</v>
      </c>
      <c r="Q84" s="14"/>
      <c r="R84" s="33">
        <f>IF(P$12=0,0,P84/P$12)</f>
        <v>0</v>
      </c>
      <c r="S84" s="14"/>
      <c r="T84" s="31">
        <f>+T80-T82</f>
        <v>-6300</v>
      </c>
      <c r="U84" s="14"/>
      <c r="V84" s="33">
        <f>IF(T$12=0,0,T84/T$12)</f>
        <v>0</v>
      </c>
      <c r="W84" s="16"/>
      <c r="X84" s="31">
        <f>P84-T84</f>
        <v>1054.6199999999999</v>
      </c>
      <c r="Y84" s="16"/>
      <c r="Z84" s="33">
        <f>IF(T84=0,0,X84/T84)</f>
        <v>-0.16739999999999999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294</v>
      </c>
      <c r="C87" s="28"/>
      <c r="D87" s="34">
        <f>SUM(D84:D86)</f>
        <v>-58.03</v>
      </c>
      <c r="E87" s="14"/>
      <c r="F87" s="35">
        <f>IF(D$12=0,0,D87/D$12)</f>
        <v>0</v>
      </c>
      <c r="G87" s="14"/>
      <c r="H87" s="34">
        <f>SUM(H84:H86)</f>
        <v>-630</v>
      </c>
      <c r="I87" s="14"/>
      <c r="J87" s="35">
        <f>IF(H$12=0,0,H87/H$12)</f>
        <v>0</v>
      </c>
      <c r="K87" s="16"/>
      <c r="L87" s="34">
        <f>+D87-H87</f>
        <v>571.97</v>
      </c>
      <c r="M87" s="16"/>
      <c r="N87" s="35">
        <f>IF(H87=0,0,L87/H87)</f>
        <v>-0.90788888888888897</v>
      </c>
      <c r="O87" s="29"/>
      <c r="P87" s="34">
        <f>SUM(P84:P86)</f>
        <v>-5245.38</v>
      </c>
      <c r="Q87" s="14"/>
      <c r="R87" s="35">
        <f>IF(P$12=0,0,P87/P$12)</f>
        <v>0</v>
      </c>
      <c r="S87" s="14"/>
      <c r="T87" s="34">
        <f>SUM(T84:T86)</f>
        <v>-6300</v>
      </c>
      <c r="U87" s="14"/>
      <c r="V87" s="35">
        <f>IF(T$12=0,0,T87/T$12)</f>
        <v>0</v>
      </c>
      <c r="W87" s="16"/>
      <c r="X87" s="34">
        <f>+P87-T87</f>
        <v>1054.6199999999999</v>
      </c>
      <c r="Y87" s="16"/>
      <c r="Z87" s="35">
        <f>IF(T87=0,0,X87/T87)</f>
        <v>-0.16739999999999999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2">
        <v>44330.0058283912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6" t="s">
        <v>56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5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139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--974.91</f>
        <v>974.91</v>
      </c>
      <c r="Q14" s="2"/>
      <c r="R14" s="19"/>
      <c r="S14" s="2"/>
      <c r="T14" s="2"/>
      <c r="U14" s="2"/>
      <c r="V14" s="19"/>
      <c r="W14" s="2"/>
      <c r="X14" s="2">
        <f t="shared" si="2"/>
        <v>974.91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257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0</v>
      </c>
      <c r="M17" s="4"/>
      <c r="N17" s="12">
        <f t="shared" ref="N17:N19" si="8">IF(H17=0,0,L17/H17)</f>
        <v>0</v>
      </c>
      <c r="O17" s="10"/>
      <c r="P17" s="4">
        <f>SUM(OSRRefP16x_0)</f>
        <v>-2369.56</v>
      </c>
      <c r="Q17" s="4"/>
      <c r="R17" s="12">
        <f t="shared" ref="R17:R19" si="9">IF(P$12=0,0,P17/P$12)</f>
        <v>-2.4305423064693152</v>
      </c>
      <c r="S17" s="4"/>
      <c r="T17" s="4">
        <f>SUM(OSRRefT16x_0)</f>
        <v>0</v>
      </c>
      <c r="U17" s="4"/>
      <c r="V17" s="12">
        <f t="shared" ref="V17:V19" si="10">IF(T$12=0,0,T17/T$12)</f>
        <v>0</v>
      </c>
      <c r="W17" s="4"/>
      <c r="X17" s="4">
        <f t="shared" ref="X17:X19" si="11">+P17-T17</f>
        <v>-2369.56</v>
      </c>
      <c r="Y17" s="4"/>
      <c r="Z17" s="12">
        <f t="shared" ref="Z17:Z19" si="12">IF(T17=0,0,X17/T17)</f>
        <v>0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0</v>
      </c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0</v>
      </c>
      <c r="U18" s="2"/>
      <c r="V18" s="19">
        <f t="shared" si="10"/>
        <v>0</v>
      </c>
      <c r="W18" s="2"/>
      <c r="X18" s="2">
        <f t="shared" si="11"/>
        <v>0</v>
      </c>
      <c r="Y18" s="2"/>
      <c r="Z18" s="19">
        <f t="shared" si="12"/>
        <v>0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-2369.56</v>
      </c>
      <c r="Q19" s="2"/>
      <c r="R19" s="19">
        <f t="shared" si="9"/>
        <v>-2.4305423064693152</v>
      </c>
      <c r="S19" s="2"/>
      <c r="T19" s="2"/>
      <c r="U19" s="2"/>
      <c r="V19" s="19">
        <f t="shared" si="10"/>
        <v>0</v>
      </c>
      <c r="W19" s="2"/>
      <c r="X19" s="2">
        <f t="shared" si="11"/>
        <v>-2369.56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1">
        <f>D12-D17</f>
        <v>0</v>
      </c>
      <c r="E21" s="14"/>
      <c r="F21" s="20">
        <f>IF(D$12=0,0,D21/D$12)</f>
        <v>0</v>
      </c>
      <c r="G21" s="14"/>
      <c r="H21" s="21">
        <f>H12-H17</f>
        <v>0</v>
      </c>
      <c r="I21" s="14"/>
      <c r="J21" s="20">
        <f>IF(H$12=0,0,H21/H$12)</f>
        <v>0</v>
      </c>
      <c r="K21" s="16"/>
      <c r="L21" s="21">
        <f>+D21-H21</f>
        <v>0</v>
      </c>
      <c r="M21" s="16"/>
      <c r="N21" s="20">
        <f>IF(H21=0,0,L21/H21)</f>
        <v>0</v>
      </c>
      <c r="O21" s="29"/>
      <c r="P21" s="21">
        <f>P12-P17</f>
        <v>3344.47</v>
      </c>
      <c r="Q21" s="14"/>
      <c r="R21" s="20">
        <f>IF(P$12=0,0,P21/P$12)</f>
        <v>3.4305423064693152</v>
      </c>
      <c r="S21" s="14"/>
      <c r="T21" s="21">
        <f>T12-T17</f>
        <v>0</v>
      </c>
      <c r="U21" s="14"/>
      <c r="V21" s="20">
        <f>IF(T$12=0,0,T21/T$12)</f>
        <v>0</v>
      </c>
      <c r="W21" s="16"/>
      <c r="X21" s="21">
        <f>+P21-T21</f>
        <v>3344.47</v>
      </c>
      <c r="Y21" s="16"/>
      <c r="Z21" s="20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2">
        <f>SUM(OSRRefD22x_0)</f>
        <v>1825.26</v>
      </c>
      <c r="E23" s="22"/>
      <c r="F23" s="32">
        <f t="shared" ref="F23:F33" si="13">IF(D$12=0,0,D23/D$12)</f>
        <v>0</v>
      </c>
      <c r="G23" s="22"/>
      <c r="H23" s="22">
        <f>SUM(OSRRefH22x_0)</f>
        <v>1972</v>
      </c>
      <c r="I23" s="22"/>
      <c r="J23" s="32">
        <f t="shared" ref="J23:J33" si="14">IF(H$12=0,0,H23/H$12)</f>
        <v>0</v>
      </c>
      <c r="K23" s="4"/>
      <c r="L23" s="22">
        <f t="shared" ref="L23:L33" si="15">+D23-H23</f>
        <v>-146.74</v>
      </c>
      <c r="M23" s="4"/>
      <c r="N23" s="32">
        <f t="shared" ref="N23:N33" si="16">IF(H23=0,0,L23/H23)</f>
        <v>-7.4411764705882358E-2</v>
      </c>
      <c r="O23" s="10"/>
      <c r="P23" s="22">
        <f>SUM(OSRRefP22x_0)</f>
        <v>19917.349999999999</v>
      </c>
      <c r="Q23" s="22"/>
      <c r="R23" s="32">
        <f t="shared" ref="R23:R33" si="17">IF(P$12=0,0,P23/P$12)</f>
        <v>20.429937122401043</v>
      </c>
      <c r="S23" s="22"/>
      <c r="T23" s="22">
        <f>SUM(OSRRefT22x_0)</f>
        <v>19720</v>
      </c>
      <c r="U23" s="22"/>
      <c r="V23" s="32">
        <f t="shared" ref="V23:V33" si="18">IF(T$12=0,0,T23/T$12)</f>
        <v>0</v>
      </c>
      <c r="W23" s="4"/>
      <c r="X23" s="22">
        <f t="shared" ref="X23:X33" si="19">+P23-T23</f>
        <v>197.34999999999854</v>
      </c>
      <c r="Y23" s="4"/>
      <c r="Z23" s="32">
        <f t="shared" ref="Z23:Z33" si="20">IF(T23=0,0,X23/T23)</f>
        <v>1.0007606490872137E-2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0</v>
      </c>
      <c r="I24" s="1"/>
      <c r="J24" s="5">
        <f t="shared" si="14"/>
        <v>0</v>
      </c>
      <c r="K24" s="1"/>
      <c r="L24" s="1">
        <f t="shared" si="15"/>
        <v>0</v>
      </c>
      <c r="M24" s="1"/>
      <c r="N24" s="5">
        <f t="shared" si="16"/>
        <v>0</v>
      </c>
      <c r="O24" s="13"/>
      <c r="P24" s="1">
        <f>SUM(OSRRefP22_0x_0)</f>
        <v>702.51</v>
      </c>
      <c r="Q24" s="1"/>
      <c r="R24" s="5">
        <f t="shared" si="17"/>
        <v>0.72058959288549718</v>
      </c>
      <c r="S24" s="1"/>
      <c r="T24" s="1">
        <f>SUM(OSRRefT22_0x_0)</f>
        <v>0</v>
      </c>
      <c r="U24" s="1"/>
      <c r="V24" s="5">
        <f t="shared" si="18"/>
        <v>0</v>
      </c>
      <c r="W24" s="1"/>
      <c r="X24" s="1">
        <f t="shared" si="19"/>
        <v>702.51</v>
      </c>
      <c r="Y24" s="1"/>
      <c r="Z24" s="5">
        <f t="shared" si="20"/>
        <v>0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/>
      <c r="Q26" s="2"/>
      <c r="R26" s="6">
        <f t="shared" si="17"/>
        <v>0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0</v>
      </c>
      <c r="Y26" s="2"/>
      <c r="Z26" s="6">
        <f t="shared" si="20"/>
        <v>0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702.51</v>
      </c>
      <c r="Q27" s="2"/>
      <c r="R27" s="6">
        <f t="shared" si="17"/>
        <v>0.72058959288549718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702.51</v>
      </c>
      <c r="Y27" s="2"/>
      <c r="Z27" s="6">
        <f t="shared" si="20"/>
        <v>0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6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0</v>
      </c>
      <c r="M34" s="1"/>
      <c r="N34" s="5">
        <f t="shared" ref="N34:N44" si="24">IF(H34=0,0,L34/H34)</f>
        <v>0</v>
      </c>
      <c r="O34" s="13"/>
      <c r="P34" s="1">
        <f>SUM(OSRRefP22_1x_0)</f>
        <v>0</v>
      </c>
      <c r="Q34" s="1"/>
      <c r="R34" s="5">
        <f t="shared" ref="R34:R44" si="25">IF(P$12=0,0,P34/P$12)</f>
        <v>0</v>
      </c>
      <c r="S34" s="1"/>
      <c r="T34" s="1">
        <f>SUM(OSRRefT22_1x_0)</f>
        <v>0</v>
      </c>
      <c r="U34" s="1"/>
      <c r="V34" s="5">
        <f t="shared" ref="V34:V44" si="26">IF(T$12=0,0,T34/T$12)</f>
        <v>0</v>
      </c>
      <c r="W34" s="1"/>
      <c r="X34" s="1">
        <f t="shared" ref="X34:X44" si="27">+P34-T34</f>
        <v>0</v>
      </c>
      <c r="Y34" s="1"/>
      <c r="Z34" s="5">
        <f t="shared" ref="Z34:Z44" si="28">IF(T34=0,0,X34/T34)</f>
        <v>0</v>
      </c>
    </row>
    <row r="35" spans="1:26" s="24" customFormat="1" hidden="1" outlineLevel="2" x14ac:dyDescent="0.25">
      <c r="A35" s="26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9" si="29">IF(D$12=0,0,D45/D$12)</f>
        <v>0</v>
      </c>
      <c r="G45" s="1"/>
      <c r="H45" s="1">
        <f>SUM(OSRRefH22_2x_0)</f>
        <v>0</v>
      </c>
      <c r="I45" s="1"/>
      <c r="J45" s="5">
        <f t="shared" ref="J45:J59" si="30">IF(H$12=0,0,H45/H$12)</f>
        <v>0</v>
      </c>
      <c r="K45" s="1"/>
      <c r="L45" s="1">
        <f t="shared" ref="L45:L59" si="31">+D45-H45</f>
        <v>0</v>
      </c>
      <c r="M45" s="1"/>
      <c r="N45" s="5">
        <f t="shared" ref="N45:N59" si="32">IF(H45=0,0,L45/H45)</f>
        <v>0</v>
      </c>
      <c r="O45" s="13"/>
      <c r="P45" s="1">
        <f>SUM(OSRRefP22_2x_0)</f>
        <v>83.83</v>
      </c>
      <c r="Q45" s="1"/>
      <c r="R45" s="5">
        <f t="shared" ref="R45:R59" si="33">IF(P$12=0,0,P45/P$12)</f>
        <v>8.5987424480208435E-2</v>
      </c>
      <c r="S45" s="1"/>
      <c r="T45" s="1">
        <f>SUM(OSRRefT22_2x_0)</f>
        <v>0</v>
      </c>
      <c r="U45" s="1"/>
      <c r="V45" s="5">
        <f t="shared" ref="V45:V59" si="34">IF(T$12=0,0,T45/T$12)</f>
        <v>0</v>
      </c>
      <c r="W45" s="1"/>
      <c r="X45" s="1">
        <f t="shared" ref="X45:X59" si="35">+P45-T45</f>
        <v>83.83</v>
      </c>
      <c r="Y45" s="1"/>
      <c r="Z45" s="5">
        <f t="shared" ref="Z45:Z59" si="36">IF(T45=0,0,X45/T45)</f>
        <v>0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0</v>
      </c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83.83</v>
      </c>
      <c r="Q46" s="2"/>
      <c r="R46" s="6">
        <f t="shared" si="33"/>
        <v>8.5987424480208435E-2</v>
      </c>
      <c r="S46" s="2"/>
      <c r="T46" s="7">
        <v>0</v>
      </c>
      <c r="U46" s="2"/>
      <c r="V46" s="6">
        <f t="shared" si="34"/>
        <v>0</v>
      </c>
      <c r="W46" s="2"/>
      <c r="X46" s="7">
        <f t="shared" si="35"/>
        <v>83.83</v>
      </c>
      <c r="Y46" s="2"/>
      <c r="Z46" s="6">
        <f t="shared" si="36"/>
        <v>0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0</v>
      </c>
      <c r="Q47" s="1"/>
      <c r="R47" s="5">
        <f t="shared" si="33"/>
        <v>0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0</v>
      </c>
      <c r="Y47" s="1"/>
      <c r="Z47" s="5">
        <f t="shared" si="36"/>
        <v>0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29"/>
        <v>0</v>
      </c>
      <c r="G48" s="2"/>
      <c r="H48" s="7">
        <v>0</v>
      </c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/>
      <c r="Q48" s="2"/>
      <c r="R48" s="6">
        <f t="shared" si="33"/>
        <v>0</v>
      </c>
      <c r="S48" s="2"/>
      <c r="T48" s="7">
        <v>0</v>
      </c>
      <c r="U48" s="2"/>
      <c r="V48" s="6">
        <f t="shared" si="34"/>
        <v>0</v>
      </c>
      <c r="W48" s="2"/>
      <c r="X48" s="7">
        <f t="shared" si="35"/>
        <v>0</v>
      </c>
      <c r="Y48" s="2"/>
      <c r="Z48" s="6">
        <f t="shared" si="36"/>
        <v>0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SUM(OSRRefD22_4x_0)</f>
        <v>1825.26</v>
      </c>
      <c r="E49" s="1"/>
      <c r="F49" s="5">
        <f t="shared" si="29"/>
        <v>0</v>
      </c>
      <c r="G49" s="1"/>
      <c r="H49" s="1">
        <f>SUM(OSRRefH22_4x_0)</f>
        <v>1972</v>
      </c>
      <c r="I49" s="1"/>
      <c r="J49" s="5">
        <f t="shared" si="30"/>
        <v>0</v>
      </c>
      <c r="K49" s="1"/>
      <c r="L49" s="1">
        <f t="shared" si="31"/>
        <v>-146.74</v>
      </c>
      <c r="M49" s="1"/>
      <c r="N49" s="5">
        <f t="shared" si="32"/>
        <v>-7.4411764705882358E-2</v>
      </c>
      <c r="O49" s="13"/>
      <c r="P49" s="1">
        <f>SUM(OSRRefP22_4x_0)</f>
        <v>18399.39</v>
      </c>
      <c r="Q49" s="1"/>
      <c r="R49" s="5">
        <f t="shared" si="33"/>
        <v>18.872911345662676</v>
      </c>
      <c r="S49" s="1"/>
      <c r="T49" s="1">
        <f>SUM(OSRRefT22_4x_0)</f>
        <v>19720</v>
      </c>
      <c r="U49" s="1"/>
      <c r="V49" s="5">
        <f t="shared" si="34"/>
        <v>0</v>
      </c>
      <c r="W49" s="1"/>
      <c r="X49" s="1">
        <f t="shared" si="35"/>
        <v>-1320.6100000000006</v>
      </c>
      <c r="Y49" s="1"/>
      <c r="Z49" s="5">
        <f t="shared" si="36"/>
        <v>-6.6968052738336739E-2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1825.26</v>
      </c>
      <c r="E50" s="2"/>
      <c r="F50" s="6">
        <f t="shared" si="29"/>
        <v>0</v>
      </c>
      <c r="G50" s="2"/>
      <c r="H50" s="7">
        <v>1972</v>
      </c>
      <c r="I50" s="2"/>
      <c r="J50" s="6">
        <f t="shared" si="30"/>
        <v>0</v>
      </c>
      <c r="K50" s="2"/>
      <c r="L50" s="7">
        <f t="shared" si="31"/>
        <v>-146.74</v>
      </c>
      <c r="M50" s="2"/>
      <c r="N50" s="6">
        <f t="shared" si="32"/>
        <v>-7.4411764705882358E-2</v>
      </c>
      <c r="O50" s="11"/>
      <c r="P50" s="7">
        <v>18399.39</v>
      </c>
      <c r="Q50" s="2"/>
      <c r="R50" s="6">
        <f t="shared" si="33"/>
        <v>18.872911345662676</v>
      </c>
      <c r="S50" s="2"/>
      <c r="T50" s="7">
        <v>19720</v>
      </c>
      <c r="U50" s="2"/>
      <c r="V50" s="6">
        <f t="shared" si="34"/>
        <v>0</v>
      </c>
      <c r="W50" s="2"/>
      <c r="X50" s="7">
        <f t="shared" si="35"/>
        <v>-1320.6100000000006</v>
      </c>
      <c r="Y50" s="2"/>
      <c r="Z50" s="6">
        <f t="shared" si="36"/>
        <v>-6.6968052738336739E-2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0</v>
      </c>
      <c r="Q51" s="1"/>
      <c r="R51" s="5">
        <f t="shared" si="33"/>
        <v>0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0</v>
      </c>
      <c r="Y51" s="1"/>
      <c r="Z51" s="5">
        <f t="shared" si="36"/>
        <v>0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>
        <v>0</v>
      </c>
      <c r="I52" s="2"/>
      <c r="J52" s="6">
        <f t="shared" si="30"/>
        <v>0</v>
      </c>
      <c r="K52" s="2"/>
      <c r="L52" s="7">
        <f t="shared" si="31"/>
        <v>0</v>
      </c>
      <c r="M52" s="2"/>
      <c r="N52" s="6">
        <f t="shared" si="32"/>
        <v>0</v>
      </c>
      <c r="O52" s="11"/>
      <c r="P52" s="7"/>
      <c r="Q52" s="2"/>
      <c r="R52" s="6">
        <f t="shared" si="33"/>
        <v>0</v>
      </c>
      <c r="S52" s="2"/>
      <c r="T52" s="7">
        <v>0</v>
      </c>
      <c r="U52" s="2"/>
      <c r="V52" s="6">
        <f t="shared" si="34"/>
        <v>0</v>
      </c>
      <c r="W52" s="2"/>
      <c r="X52" s="7">
        <f t="shared" si="35"/>
        <v>0</v>
      </c>
      <c r="Y52" s="2"/>
      <c r="Z52" s="6">
        <f t="shared" si="36"/>
        <v>0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96.3</v>
      </c>
      <c r="Q53" s="1"/>
      <c r="R53" s="5">
        <f t="shared" si="33"/>
        <v>9.8778348770655749E-2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96.3</v>
      </c>
      <c r="Y53" s="1"/>
      <c r="Z53" s="5">
        <f t="shared" si="36"/>
        <v>0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0</v>
      </c>
      <c r="M54" s="2"/>
      <c r="N54" s="6">
        <f t="shared" si="32"/>
        <v>0</v>
      </c>
      <c r="O54" s="11"/>
      <c r="P54" s="7">
        <v>96.3</v>
      </c>
      <c r="Q54" s="2"/>
      <c r="R54" s="6">
        <f t="shared" si="33"/>
        <v>9.8778348770655749E-2</v>
      </c>
      <c r="S54" s="2"/>
      <c r="T54" s="7"/>
      <c r="U54" s="2"/>
      <c r="V54" s="6">
        <f t="shared" si="34"/>
        <v>0</v>
      </c>
      <c r="W54" s="2"/>
      <c r="X54" s="7">
        <f t="shared" si="35"/>
        <v>96.3</v>
      </c>
      <c r="Y54" s="2"/>
      <c r="Z54" s="6">
        <f t="shared" si="36"/>
        <v>0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7.28</v>
      </c>
      <c r="Q55" s="1"/>
      <c r="R55" s="5">
        <f t="shared" si="33"/>
        <v>7.467355961063073E-3</v>
      </c>
      <c r="S55" s="1"/>
      <c r="T55" s="1">
        <f>SUM(OSRRefT22_7x_0)</f>
        <v>0</v>
      </c>
      <c r="U55" s="1"/>
      <c r="V55" s="5">
        <f t="shared" si="34"/>
        <v>0</v>
      </c>
      <c r="W55" s="1"/>
      <c r="X55" s="1">
        <f t="shared" si="35"/>
        <v>7.28</v>
      </c>
      <c r="Y55" s="1"/>
      <c r="Z55" s="5">
        <f t="shared" si="36"/>
        <v>0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7.28</v>
      </c>
      <c r="Q56" s="2"/>
      <c r="R56" s="6">
        <f t="shared" si="33"/>
        <v>7.467355961063073E-3</v>
      </c>
      <c r="S56" s="2"/>
      <c r="T56" s="7">
        <v>0</v>
      </c>
      <c r="U56" s="2"/>
      <c r="V56" s="6">
        <f t="shared" si="34"/>
        <v>0</v>
      </c>
      <c r="W56" s="2"/>
      <c r="X56" s="7">
        <f t="shared" si="35"/>
        <v>7.28</v>
      </c>
      <c r="Y56" s="2"/>
      <c r="Z56" s="6">
        <f t="shared" si="36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3"/>
      <c r="P57" s="1">
        <f>SUM(OSRRefP22_8x_0)</f>
        <v>628.04</v>
      </c>
      <c r="Q57" s="1"/>
      <c r="R57" s="5">
        <f t="shared" si="33"/>
        <v>0.64420305464094119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628.04</v>
      </c>
      <c r="Y57" s="1"/>
      <c r="Z57" s="5">
        <f t="shared" si="36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428.04</v>
      </c>
      <c r="Q58" s="2"/>
      <c r="R58" s="6">
        <f t="shared" si="33"/>
        <v>0.43905591285349421</v>
      </c>
      <c r="S58" s="2"/>
      <c r="T58" s="7"/>
      <c r="U58" s="2"/>
      <c r="V58" s="6">
        <f t="shared" si="34"/>
        <v>0</v>
      </c>
      <c r="W58" s="2"/>
      <c r="X58" s="7">
        <f t="shared" si="35"/>
        <v>428.04</v>
      </c>
      <c r="Y58" s="2"/>
      <c r="Z58" s="6">
        <f t="shared" si="36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200</v>
      </c>
      <c r="Q59" s="2"/>
      <c r="R59" s="6">
        <f t="shared" si="33"/>
        <v>0.20514714178744706</v>
      </c>
      <c r="S59" s="2"/>
      <c r="T59" s="7"/>
      <c r="U59" s="2"/>
      <c r="V59" s="6">
        <f t="shared" si="34"/>
        <v>0</v>
      </c>
      <c r="W59" s="2"/>
      <c r="X59" s="7">
        <f t="shared" si="35"/>
        <v>200</v>
      </c>
      <c r="Y59" s="2"/>
      <c r="Z59" s="6">
        <f t="shared" si="36"/>
        <v>0</v>
      </c>
    </row>
    <row r="60" spans="1:26" s="25" customFormat="1" outlineLevel="1" collapsed="1" x14ac:dyDescent="0.25">
      <c r="A60" s="27"/>
      <c r="B60" s="13" t="str">
        <f>CONCATENATE("     ","Royalty &amp; Commissions                             ")</f>
        <v xml:space="preserve">     Royalty &amp; Commissions                             </v>
      </c>
      <c r="C60" s="13"/>
      <c r="D60" s="1">
        <f>SUM(OSRRefD22_9x_0)</f>
        <v>0</v>
      </c>
      <c r="E60" s="1"/>
      <c r="F60" s="5">
        <f t="shared" ref="F60:F69" si="37">IF(D$12=0,0,D60/D$12)</f>
        <v>0</v>
      </c>
      <c r="G60" s="1"/>
      <c r="H60" s="1">
        <f>SUM(OSRRefH22_9x_0)</f>
        <v>0</v>
      </c>
      <c r="I60" s="1"/>
      <c r="J60" s="5">
        <f t="shared" ref="J60:J69" si="38">IF(H$12=0,0,H60/H$12)</f>
        <v>0</v>
      </c>
      <c r="K60" s="1"/>
      <c r="L60" s="1">
        <f t="shared" ref="L60:L69" si="39">+D60-H60</f>
        <v>0</v>
      </c>
      <c r="M60" s="1"/>
      <c r="N60" s="5">
        <f t="shared" ref="N60:N69" si="40">IF(H60=0,0,L60/H60)</f>
        <v>0</v>
      </c>
      <c r="O60" s="13"/>
      <c r="P60" s="1">
        <f>SUM(OSRRefP22_9x_0)</f>
        <v>0</v>
      </c>
      <c r="Q60" s="1"/>
      <c r="R60" s="5">
        <f t="shared" ref="R60:R69" si="41">IF(P$12=0,0,P60/P$12)</f>
        <v>0</v>
      </c>
      <c r="S60" s="1"/>
      <c r="T60" s="1">
        <f>SUM(OSRRefT22_9x_0)</f>
        <v>0</v>
      </c>
      <c r="U60" s="1"/>
      <c r="V60" s="5">
        <f t="shared" ref="V60:V69" si="42">IF(T$12=0,0,T60/T$12)</f>
        <v>0</v>
      </c>
      <c r="W60" s="1"/>
      <c r="X60" s="1">
        <f t="shared" ref="X60:X69" si="43">+P60-T60</f>
        <v>0</v>
      </c>
      <c r="Y60" s="1"/>
      <c r="Z60" s="5">
        <f t="shared" ref="Z60:Z69" si="44">IF(T60=0,0,X60/T60)</f>
        <v>0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/>
      <c r="Q61" s="2"/>
      <c r="R61" s="6">
        <f t="shared" si="41"/>
        <v>0</v>
      </c>
      <c r="S61" s="2"/>
      <c r="T61" s="7">
        <v>0</v>
      </c>
      <c r="U61" s="2"/>
      <c r="V61" s="6">
        <f t="shared" si="42"/>
        <v>0</v>
      </c>
      <c r="W61" s="2"/>
      <c r="X61" s="7">
        <f t="shared" si="43"/>
        <v>0</v>
      </c>
      <c r="Y61" s="2"/>
      <c r="Z61" s="6">
        <f t="shared" si="44"/>
        <v>0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SUM(OSRRefD22_10x_0)</f>
        <v>0</v>
      </c>
      <c r="E62" s="1"/>
      <c r="F62" s="5">
        <f t="shared" si="37"/>
        <v>0</v>
      </c>
      <c r="G62" s="1"/>
      <c r="H62" s="1">
        <f>SUM(OSRRefH22_10x_0)</f>
        <v>0</v>
      </c>
      <c r="I62" s="1"/>
      <c r="J62" s="5">
        <f t="shared" si="38"/>
        <v>0</v>
      </c>
      <c r="K62" s="1"/>
      <c r="L62" s="1">
        <f t="shared" si="39"/>
        <v>0</v>
      </c>
      <c r="M62" s="1"/>
      <c r="N62" s="5">
        <f t="shared" si="40"/>
        <v>0</v>
      </c>
      <c r="O62" s="13"/>
      <c r="P62" s="1">
        <f>SUM(OSRRefP22_10x_0)</f>
        <v>0</v>
      </c>
      <c r="Q62" s="1"/>
      <c r="R62" s="5">
        <f t="shared" si="41"/>
        <v>0</v>
      </c>
      <c r="S62" s="1"/>
      <c r="T62" s="1">
        <f>SUM(OSRRefT22_10x_0)</f>
        <v>0</v>
      </c>
      <c r="U62" s="1"/>
      <c r="V62" s="5">
        <f t="shared" si="42"/>
        <v>0</v>
      </c>
      <c r="W62" s="1"/>
      <c r="X62" s="1">
        <f t="shared" si="43"/>
        <v>0</v>
      </c>
      <c r="Y62" s="1"/>
      <c r="Z62" s="5">
        <f t="shared" si="44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37"/>
        <v>0</v>
      </c>
      <c r="G63" s="2"/>
      <c r="H63" s="7">
        <v>0</v>
      </c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/>
      <c r="Q63" s="2"/>
      <c r="R63" s="6">
        <f t="shared" si="41"/>
        <v>0</v>
      </c>
      <c r="S63" s="2"/>
      <c r="T63" s="7">
        <v>0</v>
      </c>
      <c r="U63" s="2"/>
      <c r="V63" s="6">
        <f t="shared" si="42"/>
        <v>0</v>
      </c>
      <c r="W63" s="2"/>
      <c r="X63" s="7">
        <f t="shared" si="43"/>
        <v>0</v>
      </c>
      <c r="Y63" s="2"/>
      <c r="Z63" s="6">
        <f t="shared" si="44"/>
        <v>0</v>
      </c>
    </row>
    <row r="64" spans="1:26" s="25" customFormat="1" outlineLevel="1" collapsed="1" x14ac:dyDescent="0.25">
      <c r="A64" s="27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SUM(OSRRefD22_11x_0)</f>
        <v>0</v>
      </c>
      <c r="E64" s="1"/>
      <c r="F64" s="5">
        <f t="shared" si="37"/>
        <v>0</v>
      </c>
      <c r="G64" s="1"/>
      <c r="H64" s="1">
        <f>SUM(OSRRefH22_11x_0)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SUM(OSRRefP22_11x_0)</f>
        <v>0</v>
      </c>
      <c r="Q64" s="1"/>
      <c r="R64" s="5">
        <f t="shared" si="41"/>
        <v>0</v>
      </c>
      <c r="S64" s="1"/>
      <c r="T64" s="1">
        <f>SUM(OSRRefT22_11x_0)</f>
        <v>0</v>
      </c>
      <c r="U64" s="1"/>
      <c r="V64" s="5">
        <f t="shared" si="42"/>
        <v>0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37"/>
        <v>0</v>
      </c>
      <c r="G65" s="2"/>
      <c r="H65" s="7">
        <v>0</v>
      </c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/>
      <c r="Q65" s="2"/>
      <c r="R65" s="6">
        <f t="shared" si="41"/>
        <v>0</v>
      </c>
      <c r="S65" s="2"/>
      <c r="T65" s="7">
        <v>0</v>
      </c>
      <c r="U65" s="2"/>
      <c r="V65" s="6">
        <f t="shared" si="42"/>
        <v>0</v>
      </c>
      <c r="W65" s="2"/>
      <c r="X65" s="7">
        <f t="shared" si="43"/>
        <v>0</v>
      </c>
      <c r="Y65" s="2"/>
      <c r="Z65" s="6">
        <f t="shared" si="44"/>
        <v>0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0</v>
      </c>
      <c r="E66" s="1"/>
      <c r="F66" s="5">
        <f t="shared" si="37"/>
        <v>0</v>
      </c>
      <c r="G66" s="1"/>
      <c r="H66" s="1">
        <f>SUM(OSRRefH22_12x_0)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3"/>
      <c r="P66" s="1">
        <f>SUM(OSRRefP22_12x_0)</f>
        <v>0</v>
      </c>
      <c r="Q66" s="1"/>
      <c r="R66" s="5">
        <f t="shared" si="41"/>
        <v>0</v>
      </c>
      <c r="S66" s="1"/>
      <c r="T66" s="1">
        <f>SUM(OSRRefT22_12x_0)</f>
        <v>0</v>
      </c>
      <c r="U66" s="1"/>
      <c r="V66" s="5">
        <f t="shared" si="42"/>
        <v>0</v>
      </c>
      <c r="W66" s="1"/>
      <c r="X66" s="1">
        <f t="shared" si="43"/>
        <v>0</v>
      </c>
      <c r="Y66" s="1"/>
      <c r="Z66" s="5">
        <f t="shared" si="44"/>
        <v>0</v>
      </c>
    </row>
    <row r="67" spans="1:26" s="24" customFormat="1" hidden="1" outlineLevel="2" x14ac:dyDescent="0.25">
      <c r="A67" s="26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37"/>
        <v>0</v>
      </c>
      <c r="G69" s="2"/>
      <c r="H69" s="7">
        <v>0</v>
      </c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/>
      <c r="Q69" s="2"/>
      <c r="R69" s="6">
        <f t="shared" si="41"/>
        <v>0</v>
      </c>
      <c r="S69" s="2"/>
      <c r="T69" s="7">
        <v>0</v>
      </c>
      <c r="U69" s="2"/>
      <c r="V69" s="6">
        <f t="shared" si="42"/>
        <v>0</v>
      </c>
      <c r="W69" s="2"/>
      <c r="X69" s="7">
        <f t="shared" si="43"/>
        <v>0</v>
      </c>
      <c r="Y69" s="2"/>
      <c r="Z69" s="6">
        <f t="shared" si="44"/>
        <v>0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0</v>
      </c>
      <c r="E70" s="1"/>
      <c r="F70" s="5">
        <f t="shared" ref="F70:F75" si="45">IF(D$12=0,0,D70/D$12)</f>
        <v>0</v>
      </c>
      <c r="G70" s="1"/>
      <c r="H70" s="1">
        <f>SUM(OSRRefH22_13x_0)</f>
        <v>0</v>
      </c>
      <c r="I70" s="1"/>
      <c r="J70" s="5">
        <f t="shared" ref="J70:J75" si="46">IF(H$12=0,0,H70/H$12)</f>
        <v>0</v>
      </c>
      <c r="K70" s="1"/>
      <c r="L70" s="1">
        <f t="shared" ref="L70:L75" si="47">+D70-H70</f>
        <v>0</v>
      </c>
      <c r="M70" s="1"/>
      <c r="N70" s="5">
        <f t="shared" ref="N70:N75" si="48">IF(H70=0,0,L70/H70)</f>
        <v>0</v>
      </c>
      <c r="O70" s="13"/>
      <c r="P70" s="1">
        <f>SUM(OSRRefP22_13x_0)</f>
        <v>0</v>
      </c>
      <c r="Q70" s="1"/>
      <c r="R70" s="5">
        <f t="shared" ref="R70:R75" si="49">IF(P$12=0,0,P70/P$12)</f>
        <v>0</v>
      </c>
      <c r="S70" s="1"/>
      <c r="T70" s="1">
        <f>SUM(OSRRefT22_13x_0)</f>
        <v>0</v>
      </c>
      <c r="U70" s="1"/>
      <c r="V70" s="5">
        <f t="shared" ref="V70:V75" si="50">IF(T$12=0,0,T70/T$12)</f>
        <v>0</v>
      </c>
      <c r="W70" s="1"/>
      <c r="X70" s="1">
        <f t="shared" ref="X70:X75" si="51">+P70-T70</f>
        <v>0</v>
      </c>
      <c r="Y70" s="1"/>
      <c r="Z70" s="5">
        <f t="shared" ref="Z70:Z75" si="52">IF(T70=0,0,X70/T70)</f>
        <v>0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/>
      <c r="E71" s="2"/>
      <c r="F71" s="6">
        <f t="shared" si="45"/>
        <v>0</v>
      </c>
      <c r="G71" s="2"/>
      <c r="H71" s="7">
        <v>0</v>
      </c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/>
      <c r="Q71" s="2"/>
      <c r="R71" s="6">
        <f t="shared" si="49"/>
        <v>0</v>
      </c>
      <c r="S71" s="2"/>
      <c r="T71" s="7">
        <v>0</v>
      </c>
      <c r="U71" s="2"/>
      <c r="V71" s="6">
        <f t="shared" si="50"/>
        <v>0</v>
      </c>
      <c r="W71" s="2"/>
      <c r="X71" s="7">
        <f t="shared" si="51"/>
        <v>0</v>
      </c>
      <c r="Y71" s="2"/>
      <c r="Z71" s="6">
        <f t="shared" si="52"/>
        <v>0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45"/>
        <v>0</v>
      </c>
      <c r="G72" s="1"/>
      <c r="H72" s="1">
        <f>SUM(OSRRefH22_14x_0)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SUM(OSRRefP22_14x_0)</f>
        <v>0</v>
      </c>
      <c r="Q72" s="1"/>
      <c r="R72" s="5">
        <f t="shared" si="49"/>
        <v>0</v>
      </c>
      <c r="S72" s="1"/>
      <c r="T72" s="1">
        <f>SUM(OSRRefT22_14x_0)</f>
        <v>0</v>
      </c>
      <c r="U72" s="1"/>
      <c r="V72" s="5">
        <f t="shared" si="50"/>
        <v>0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/>
      <c r="Q73" s="2"/>
      <c r="R73" s="6">
        <f t="shared" si="49"/>
        <v>0</v>
      </c>
      <c r="S73" s="2"/>
      <c r="T73" s="7">
        <v>0</v>
      </c>
      <c r="U73" s="2"/>
      <c r="V73" s="6">
        <f t="shared" si="50"/>
        <v>0</v>
      </c>
      <c r="W73" s="2"/>
      <c r="X73" s="7">
        <f t="shared" si="51"/>
        <v>0</v>
      </c>
      <c r="Y73" s="2"/>
      <c r="Z73" s="6">
        <f t="shared" si="52"/>
        <v>0</v>
      </c>
    </row>
    <row r="74" spans="1:26" s="25" customFormat="1" outlineLevel="1" collapsed="1" x14ac:dyDescent="0.25">
      <c r="A74" s="27"/>
      <c r="B74" s="13" t="str">
        <f>CONCATENATE("     ","Travel                                            ")</f>
        <v xml:space="preserve">     Travel                                            </v>
      </c>
      <c r="C74" s="13"/>
      <c r="D74" s="1">
        <f>SUM(OSRRefD22_15x_0)</f>
        <v>0</v>
      </c>
      <c r="E74" s="1"/>
      <c r="F74" s="5">
        <f t="shared" si="45"/>
        <v>0</v>
      </c>
      <c r="G74" s="1"/>
      <c r="H74" s="1">
        <f>SUM(OSRRefH22_15x_0)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3"/>
      <c r="P74" s="1">
        <f>SUM(OSRRefP22_15x_0)</f>
        <v>0</v>
      </c>
      <c r="Q74" s="1"/>
      <c r="R74" s="5">
        <f t="shared" si="49"/>
        <v>0</v>
      </c>
      <c r="S74" s="1"/>
      <c r="T74" s="1">
        <f>SUM(OSRRefT22_15x_0)</f>
        <v>0</v>
      </c>
      <c r="U74" s="1"/>
      <c r="V74" s="5">
        <f t="shared" si="50"/>
        <v>0</v>
      </c>
      <c r="W74" s="1"/>
      <c r="X74" s="1">
        <f t="shared" si="51"/>
        <v>0</v>
      </c>
      <c r="Y74" s="1"/>
      <c r="Z74" s="5">
        <f t="shared" si="52"/>
        <v>0</v>
      </c>
    </row>
    <row r="75" spans="1:26" s="24" customFormat="1" hidden="1" outlineLevel="2" x14ac:dyDescent="0.25">
      <c r="A75" s="26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45"/>
        <v>0</v>
      </c>
      <c r="G75" s="2"/>
      <c r="H75" s="7"/>
      <c r="I75" s="2"/>
      <c r="J75" s="6">
        <f t="shared" si="46"/>
        <v>0</v>
      </c>
      <c r="K75" s="2"/>
      <c r="L75" s="7">
        <f t="shared" si="47"/>
        <v>0</v>
      </c>
      <c r="M75" s="2"/>
      <c r="N75" s="6">
        <f t="shared" si="48"/>
        <v>0</v>
      </c>
      <c r="O75" s="11"/>
      <c r="P75" s="7"/>
      <c r="Q75" s="2"/>
      <c r="R75" s="6">
        <f t="shared" si="49"/>
        <v>0</v>
      </c>
      <c r="S75" s="2"/>
      <c r="T75" s="7">
        <v>0</v>
      </c>
      <c r="U75" s="2"/>
      <c r="V75" s="6">
        <f t="shared" si="50"/>
        <v>0</v>
      </c>
      <c r="W75" s="2"/>
      <c r="X75" s="7">
        <f t="shared" si="51"/>
        <v>0</v>
      </c>
      <c r="Y75" s="2"/>
      <c r="Z75" s="6">
        <f t="shared" si="52"/>
        <v>0</v>
      </c>
    </row>
    <row r="76" spans="1:26" s="61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1">
        <f>+D21-D23+D77</f>
        <v>-1825.26</v>
      </c>
      <c r="E79" s="14"/>
      <c r="F79" s="20">
        <f>IF(D$12=0,0,D79/D$12)</f>
        <v>0</v>
      </c>
      <c r="G79" s="14"/>
      <c r="H79" s="21">
        <f>+H21-H23+H77</f>
        <v>-1972</v>
      </c>
      <c r="I79" s="14"/>
      <c r="J79" s="20">
        <f>IF(H$12=0,0,H79/H$12)</f>
        <v>0</v>
      </c>
      <c r="K79" s="16"/>
      <c r="L79" s="21">
        <f>+D79-H79</f>
        <v>146.74</v>
      </c>
      <c r="M79" s="16"/>
      <c r="N79" s="20">
        <f>IF(H79=0,0,L79/H79)</f>
        <v>-7.4411764705882358E-2</v>
      </c>
      <c r="O79" s="29"/>
      <c r="P79" s="21">
        <f>+P21-P23+P77</f>
        <v>-16572.879999999997</v>
      </c>
      <c r="Q79" s="14"/>
      <c r="R79" s="20">
        <f>IF(P$12=0,0,P79/P$12)</f>
        <v>-16.999394815931726</v>
      </c>
      <c r="S79" s="14"/>
      <c r="T79" s="21">
        <f>+T21-T23+T77</f>
        <v>-19720</v>
      </c>
      <c r="U79" s="14"/>
      <c r="V79" s="20">
        <f>IF(T$12=0,0,T79/T$12)</f>
        <v>0</v>
      </c>
      <c r="W79" s="16"/>
      <c r="X79" s="21">
        <f>+P79-T79</f>
        <v>3147.1200000000026</v>
      </c>
      <c r="Y79" s="16"/>
      <c r="Z79" s="20">
        <f>IF(T79=0,0,X79/T79)</f>
        <v>-0.15959026369168369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3.04</v>
      </c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3.04</v>
      </c>
      <c r="M81" s="4"/>
      <c r="N81" s="12">
        <f>IF(H81=0,0,L81/H81)</f>
        <v>0</v>
      </c>
      <c r="O81" s="10"/>
      <c r="P81" s="4">
        <v>203.96</v>
      </c>
      <c r="Q81" s="4"/>
      <c r="R81" s="12">
        <f>IF(P$12=0,0,P81/P$12)</f>
        <v>0.20920905519483851</v>
      </c>
      <c r="S81" s="4"/>
      <c r="T81" s="4"/>
      <c r="U81" s="4"/>
      <c r="V81" s="12">
        <f>IF(T$12=0,0,T81/T$12)</f>
        <v>0</v>
      </c>
      <c r="W81" s="4"/>
      <c r="X81" s="4">
        <f>+P81-T81</f>
        <v>203.96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1">
        <f>+D79-D81</f>
        <v>-1828.3</v>
      </c>
      <c r="E83" s="14"/>
      <c r="F83" s="33">
        <f>IF(D$12=0,0,D83/D$12)</f>
        <v>0</v>
      </c>
      <c r="G83" s="14"/>
      <c r="H83" s="31">
        <f>+H79-H81</f>
        <v>-1972</v>
      </c>
      <c r="I83" s="14"/>
      <c r="J83" s="33">
        <f>IF(H$12=0,0,H83/H$12)</f>
        <v>0</v>
      </c>
      <c r="K83" s="16"/>
      <c r="L83" s="31">
        <f>D83-H83</f>
        <v>143.70000000000005</v>
      </c>
      <c r="M83" s="16"/>
      <c r="N83" s="33">
        <f>IF(H83=0,0,L83/H83)</f>
        <v>-7.2870182555780955E-2</v>
      </c>
      <c r="O83" s="29"/>
      <c r="P83" s="31">
        <f>+P79-P81</f>
        <v>-16776.839999999997</v>
      </c>
      <c r="Q83" s="14"/>
      <c r="R83" s="33">
        <f>IF(P$12=0,0,P83/P$12)</f>
        <v>-17.208603871126563</v>
      </c>
      <c r="S83" s="14"/>
      <c r="T83" s="31">
        <f>+T79-T81</f>
        <v>-19720</v>
      </c>
      <c r="U83" s="14"/>
      <c r="V83" s="33">
        <f>IF(T$12=0,0,T83/T$12)</f>
        <v>0</v>
      </c>
      <c r="W83" s="16"/>
      <c r="X83" s="31">
        <f>P83-T83</f>
        <v>2943.1600000000035</v>
      </c>
      <c r="Y83" s="16"/>
      <c r="Z83" s="33">
        <f>IF(T83=0,0,X83/T83)</f>
        <v>-0.14924746450304277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4">
        <f>SUM(D83:D85)</f>
        <v>-1828.3</v>
      </c>
      <c r="E86" s="14"/>
      <c r="F86" s="35">
        <f>IF(D$12=0,0,D86/D$12)</f>
        <v>0</v>
      </c>
      <c r="G86" s="14"/>
      <c r="H86" s="34">
        <f>SUM(H83:H85)</f>
        <v>-1972</v>
      </c>
      <c r="I86" s="14"/>
      <c r="J86" s="35">
        <f>IF(H$12=0,0,H86/H$12)</f>
        <v>0</v>
      </c>
      <c r="K86" s="16"/>
      <c r="L86" s="34">
        <f>+D86-H86</f>
        <v>143.70000000000005</v>
      </c>
      <c r="M86" s="16"/>
      <c r="N86" s="35">
        <f>IF(H86=0,0,L86/H86)</f>
        <v>-7.2870182555780955E-2</v>
      </c>
      <c r="O86" s="29"/>
      <c r="P86" s="34">
        <f>SUM(P83:P85)</f>
        <v>-16776.839999999997</v>
      </c>
      <c r="Q86" s="14"/>
      <c r="R86" s="35">
        <f>IF(P$12=0,0,P86/P$12)</f>
        <v>-17.208603871126563</v>
      </c>
      <c r="S86" s="14"/>
      <c r="T86" s="34">
        <f>SUM(T83:T85)</f>
        <v>-19720</v>
      </c>
      <c r="U86" s="14"/>
      <c r="V86" s="35">
        <f>IF(T$12=0,0,T86/T$12)</f>
        <v>0</v>
      </c>
      <c r="W86" s="16"/>
      <c r="X86" s="34">
        <f>+P86-T86</f>
        <v>2943.1600000000035</v>
      </c>
      <c r="Y86" s="16"/>
      <c r="Z86" s="35">
        <f>IF(T86=0,0,X86/T86)</f>
        <v>-0.14924746450304277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>
        <v>44330.0058283912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 t="s">
        <v>56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5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12771.779999999999</v>
      </c>
      <c r="E12" s="4"/>
      <c r="F12" s="12"/>
      <c r="G12" s="4"/>
      <c r="H12" s="4">
        <f>SUM(OSRRefH13x_0)</f>
        <v>15449</v>
      </c>
      <c r="I12" s="4"/>
      <c r="J12" s="12"/>
      <c r="K12" s="4"/>
      <c r="L12" s="4">
        <f t="shared" ref="L12:L16" si="0">+D12-H12</f>
        <v>-2677.2200000000012</v>
      </c>
      <c r="M12" s="4"/>
      <c r="N12" s="12">
        <f t="shared" ref="N12:N16" si="1">IF(H12=0,0,L12/H12)</f>
        <v>-0.17329406434073411</v>
      </c>
      <c r="O12" s="10"/>
      <c r="P12" s="4">
        <f>SUM(OSRRefP13x_0)</f>
        <v>63389.66</v>
      </c>
      <c r="Q12" s="4"/>
      <c r="R12" s="12"/>
      <c r="S12" s="4"/>
      <c r="T12" s="4">
        <f>SUM(OSRRefT13x_0)</f>
        <v>209700</v>
      </c>
      <c r="U12" s="4"/>
      <c r="V12" s="12"/>
      <c r="W12" s="4"/>
      <c r="X12" s="4">
        <f t="shared" ref="X12:X16" si="2">+P12-T12</f>
        <v>-146310.34</v>
      </c>
      <c r="Y12" s="4"/>
      <c r="Z12" s="12">
        <f t="shared" ref="Z12:Z16" si="3">IF(T12=0,0,X12/T12)</f>
        <v>-0.69771263710061993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4805</v>
      </c>
      <c r="I13" s="2"/>
      <c r="J13" s="19"/>
      <c r="K13" s="2"/>
      <c r="L13" s="2">
        <f t="shared" si="0"/>
        <v>-4805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65222</v>
      </c>
      <c r="U13" s="2"/>
      <c r="V13" s="19"/>
      <c r="W13" s="2"/>
      <c r="X13" s="2">
        <f t="shared" si="2"/>
        <v>-65222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--6552.2</f>
        <v>6552.2</v>
      </c>
      <c r="E14" s="2"/>
      <c r="F14" s="19"/>
      <c r="G14" s="2"/>
      <c r="H14" s="2"/>
      <c r="I14" s="2"/>
      <c r="J14" s="19"/>
      <c r="K14" s="2"/>
      <c r="L14" s="2">
        <f t="shared" si="0"/>
        <v>6552.2</v>
      </c>
      <c r="M14" s="2"/>
      <c r="N14" s="19">
        <f t="shared" si="1"/>
        <v>0</v>
      </c>
      <c r="O14" s="11"/>
      <c r="P14" s="2">
        <f>--32121.26</f>
        <v>32121.26</v>
      </c>
      <c r="Q14" s="2"/>
      <c r="R14" s="19"/>
      <c r="S14" s="2"/>
      <c r="T14" s="2"/>
      <c r="U14" s="2"/>
      <c r="V14" s="19"/>
      <c r="W14" s="2"/>
      <c r="X14" s="2">
        <f t="shared" si="2"/>
        <v>32121.26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10644</v>
      </c>
      <c r="I15" s="2"/>
      <c r="J15" s="19"/>
      <c r="K15" s="2"/>
      <c r="L15" s="2">
        <f t="shared" si="0"/>
        <v>-10644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144478</v>
      </c>
      <c r="U15" s="2"/>
      <c r="V15" s="19"/>
      <c r="W15" s="2"/>
      <c r="X15" s="2">
        <f t="shared" si="2"/>
        <v>-144478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--6219.58</f>
        <v>6219.58</v>
      </c>
      <c r="E16" s="2"/>
      <c r="F16" s="19"/>
      <c r="G16" s="2"/>
      <c r="H16" s="2"/>
      <c r="I16" s="2"/>
      <c r="J16" s="19"/>
      <c r="K16" s="2"/>
      <c r="L16" s="2">
        <f t="shared" si="0"/>
        <v>6219.58</v>
      </c>
      <c r="M16" s="2"/>
      <c r="N16" s="19">
        <f t="shared" si="1"/>
        <v>0</v>
      </c>
      <c r="O16" s="11"/>
      <c r="P16" s="2">
        <f>--31268.4</f>
        <v>31268.400000000001</v>
      </c>
      <c r="Q16" s="2"/>
      <c r="R16" s="19"/>
      <c r="S16" s="2"/>
      <c r="T16" s="2"/>
      <c r="U16" s="2"/>
      <c r="V16" s="19"/>
      <c r="W16" s="2"/>
      <c r="X16" s="2">
        <f t="shared" si="2"/>
        <v>31268.400000000001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3876.35</v>
      </c>
      <c r="E18" s="4"/>
      <c r="F18" s="12">
        <f t="shared" ref="F18:F21" si="4">IF(D$12=0,0,D18/D$12)</f>
        <v>0.30350898621805261</v>
      </c>
      <c r="G18" s="4"/>
      <c r="H18" s="4">
        <f>SUM(OSRRefH16x_0)</f>
        <v>5098</v>
      </c>
      <c r="I18" s="4"/>
      <c r="J18" s="12">
        <f t="shared" ref="J18:J21" si="5">IF(H$12=0,0,H18/H$12)</f>
        <v>0.32998899605152437</v>
      </c>
      <c r="K18" s="4"/>
      <c r="L18" s="4">
        <f t="shared" ref="L18:L21" si="6">+D18-H18</f>
        <v>-1221.6500000000001</v>
      </c>
      <c r="M18" s="4"/>
      <c r="N18" s="12">
        <f t="shared" ref="N18:N21" si="7">IF(H18=0,0,L18/H18)</f>
        <v>-0.23963318948607298</v>
      </c>
      <c r="O18" s="10"/>
      <c r="P18" s="4">
        <f>SUM(OSRRefP16x_0)</f>
        <v>25154.489999999998</v>
      </c>
      <c r="Q18" s="4"/>
      <c r="R18" s="12">
        <f t="shared" ref="R18:R21" si="8">IF(P$12=0,0,P18/P$12)</f>
        <v>0.39682323584004076</v>
      </c>
      <c r="S18" s="4"/>
      <c r="T18" s="4">
        <f>SUM(OSRRefT16x_0)</f>
        <v>66294</v>
      </c>
      <c r="U18" s="4"/>
      <c r="V18" s="12">
        <f t="shared" ref="V18:V21" si="9">IF(T$12=0,0,T18/T$12)</f>
        <v>0.316137339055794</v>
      </c>
      <c r="W18" s="4"/>
      <c r="X18" s="4">
        <f t="shared" ref="X18:X21" si="10">+P18-T18</f>
        <v>-41139.51</v>
      </c>
      <c r="Y18" s="4"/>
      <c r="Z18" s="12">
        <f t="shared" ref="Z18:Z21" si="11">IF(T18=0,0,X18/T18)</f>
        <v>-0.6205615892840981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5098</v>
      </c>
      <c r="I19" s="2"/>
      <c r="J19" s="19">
        <f t="shared" si="5"/>
        <v>0.32998899605152437</v>
      </c>
      <c r="K19" s="2"/>
      <c r="L19" s="2">
        <f t="shared" si="6"/>
        <v>-5098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66294</v>
      </c>
      <c r="U19" s="2"/>
      <c r="V19" s="19">
        <f t="shared" si="9"/>
        <v>0.316137339055794</v>
      </c>
      <c r="W19" s="2"/>
      <c r="X19" s="2">
        <f t="shared" si="10"/>
        <v>-66294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3742.42</v>
      </c>
      <c r="E20" s="2"/>
      <c r="F20" s="19">
        <f t="shared" si="4"/>
        <v>0.29302258573198103</v>
      </c>
      <c r="G20" s="2"/>
      <c r="H20" s="2"/>
      <c r="I20" s="2"/>
      <c r="J20" s="19">
        <f t="shared" si="5"/>
        <v>0</v>
      </c>
      <c r="K20" s="2"/>
      <c r="L20" s="2">
        <f t="shared" si="6"/>
        <v>3742.42</v>
      </c>
      <c r="M20" s="2"/>
      <c r="N20" s="19">
        <f t="shared" si="7"/>
        <v>0</v>
      </c>
      <c r="O20" s="11"/>
      <c r="P20" s="2">
        <v>19770.48</v>
      </c>
      <c r="Q20" s="2"/>
      <c r="R20" s="19">
        <f t="shared" si="8"/>
        <v>0.31188809026582565</v>
      </c>
      <c r="S20" s="2"/>
      <c r="T20" s="2"/>
      <c r="U20" s="2"/>
      <c r="V20" s="19">
        <f t="shared" si="9"/>
        <v>0</v>
      </c>
      <c r="W20" s="2"/>
      <c r="X20" s="2">
        <f t="shared" si="10"/>
        <v>19770.48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133.93</v>
      </c>
      <c r="E21" s="2"/>
      <c r="F21" s="19">
        <f t="shared" si="4"/>
        <v>1.0486400486071638E-2</v>
      </c>
      <c r="G21" s="2"/>
      <c r="H21" s="2"/>
      <c r="I21" s="2"/>
      <c r="J21" s="19">
        <f t="shared" si="5"/>
        <v>0</v>
      </c>
      <c r="K21" s="2"/>
      <c r="L21" s="2">
        <f t="shared" si="6"/>
        <v>133.93</v>
      </c>
      <c r="M21" s="2"/>
      <c r="N21" s="19">
        <f t="shared" si="7"/>
        <v>0</v>
      </c>
      <c r="O21" s="11"/>
      <c r="P21" s="2">
        <v>5384.01</v>
      </c>
      <c r="Q21" s="2"/>
      <c r="R21" s="19">
        <f t="shared" si="8"/>
        <v>8.4935145574215096E-2</v>
      </c>
      <c r="S21" s="2"/>
      <c r="T21" s="2"/>
      <c r="U21" s="2"/>
      <c r="V21" s="19">
        <f t="shared" si="9"/>
        <v>0</v>
      </c>
      <c r="W21" s="2"/>
      <c r="X21" s="2">
        <f t="shared" si="10"/>
        <v>5384.01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1">
        <f>D12-D18</f>
        <v>8895.4299999999985</v>
      </c>
      <c r="E23" s="14"/>
      <c r="F23" s="20">
        <f>IF(D$12=0,0,D23/D$12)</f>
        <v>0.69649101378194733</v>
      </c>
      <c r="G23" s="14"/>
      <c r="H23" s="21">
        <f>H12-H18</f>
        <v>10351</v>
      </c>
      <c r="I23" s="14"/>
      <c r="J23" s="20">
        <f>IF(H$12=0,0,H23/H$12)</f>
        <v>0.67001100394847568</v>
      </c>
      <c r="K23" s="16"/>
      <c r="L23" s="21">
        <f>+D23-H23</f>
        <v>-1455.5700000000015</v>
      </c>
      <c r="M23" s="16"/>
      <c r="N23" s="20">
        <f>IF(H23=0,0,L23/H23)</f>
        <v>-0.14062119601970838</v>
      </c>
      <c r="O23" s="29"/>
      <c r="P23" s="21">
        <f>P12-P18</f>
        <v>38235.170000000006</v>
      </c>
      <c r="Q23" s="14"/>
      <c r="R23" s="20">
        <f>IF(P$12=0,0,P23/P$12)</f>
        <v>0.60317676415995924</v>
      </c>
      <c r="S23" s="14"/>
      <c r="T23" s="21">
        <f>T12-T18</f>
        <v>143406</v>
      </c>
      <c r="U23" s="14"/>
      <c r="V23" s="20">
        <f>IF(T$12=0,0,T23/T$12)</f>
        <v>0.683862660944206</v>
      </c>
      <c r="W23" s="16"/>
      <c r="X23" s="21">
        <f>+P23-T23</f>
        <v>-105170.82999999999</v>
      </c>
      <c r="Y23" s="16"/>
      <c r="Z23" s="20">
        <f>IF(T23=0,0,X23/T23)</f>
        <v>-0.7333781710667614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65239.47</v>
      </c>
      <c r="E25" s="22"/>
      <c r="F25" s="32">
        <f t="shared" ref="F25:F35" si="12">IF(D$12=0,0,D25/D$12)</f>
        <v>5.1080953477119095</v>
      </c>
      <c r="G25" s="22"/>
      <c r="H25" s="22">
        <f>SUM(OSRRefH22x_0)</f>
        <v>59458.995906365381</v>
      </c>
      <c r="I25" s="22"/>
      <c r="J25" s="32">
        <f t="shared" ref="J25:J35" si="13">IF(H$12=0,0,H25/H$12)</f>
        <v>3.8487278080371143</v>
      </c>
      <c r="K25" s="4"/>
      <c r="L25" s="22">
        <f t="shared" ref="L25:L35" si="14">+D25-H25</f>
        <v>5780.4740936346207</v>
      </c>
      <c r="M25" s="4"/>
      <c r="N25" s="32">
        <f t="shared" ref="N25:N35" si="15">IF(H25=0,0,L25/H25)</f>
        <v>9.7217822223866254E-2</v>
      </c>
      <c r="O25" s="10"/>
      <c r="P25" s="22">
        <f>SUM(OSRRefP22x_0)</f>
        <v>607520.42000000004</v>
      </c>
      <c r="Q25" s="22"/>
      <c r="R25" s="32">
        <f t="shared" ref="R25:R35" si="16">IF(P$12=0,0,P25/P$12)</f>
        <v>9.5839040625868641</v>
      </c>
      <c r="S25" s="22"/>
      <c r="T25" s="22">
        <f>SUM(OSRRefT22x_0)</f>
        <v>570612.68412939995</v>
      </c>
      <c r="U25" s="22"/>
      <c r="V25" s="32">
        <f t="shared" ref="V25:V35" si="17">IF(T$12=0,0,T25/T$12)</f>
        <v>2.7210905299446826</v>
      </c>
      <c r="W25" s="4"/>
      <c r="X25" s="22">
        <f t="shared" ref="X25:X35" si="18">+P25-T25</f>
        <v>36907.735870600096</v>
      </c>
      <c r="Y25" s="4"/>
      <c r="Z25" s="32">
        <f t="shared" ref="Z25:Z35" si="19">IF(T25=0,0,X25/T25)</f>
        <v>6.4680889326726554E-2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15119.630000000001</v>
      </c>
      <c r="E26" s="1"/>
      <c r="F26" s="5">
        <f t="shared" si="12"/>
        <v>1.1838310713150402</v>
      </c>
      <c r="G26" s="1"/>
      <c r="H26" s="1">
        <f>SUM(OSRRefH22_0x_0)</f>
        <v>7342.1314063653808</v>
      </c>
      <c r="I26" s="1"/>
      <c r="J26" s="5">
        <f t="shared" si="13"/>
        <v>0.47524962174673963</v>
      </c>
      <c r="K26" s="1"/>
      <c r="L26" s="1">
        <f t="shared" si="14"/>
        <v>7777.4985936346202</v>
      </c>
      <c r="M26" s="1"/>
      <c r="N26" s="5">
        <f t="shared" si="15"/>
        <v>1.0592971118566186</v>
      </c>
      <c r="O26" s="13"/>
      <c r="P26" s="1">
        <f>SUM(OSRRefP22_0x_0)</f>
        <v>135468.92000000001</v>
      </c>
      <c r="Q26" s="1"/>
      <c r="R26" s="5">
        <f t="shared" si="16"/>
        <v>2.1370822938630685</v>
      </c>
      <c r="S26" s="1"/>
      <c r="T26" s="1">
        <f>SUM(OSRRefT22_0x_0)</f>
        <v>62101.262929400007</v>
      </c>
      <c r="U26" s="1"/>
      <c r="V26" s="5">
        <f t="shared" si="17"/>
        <v>0.29614336160896521</v>
      </c>
      <c r="W26" s="1"/>
      <c r="X26" s="1">
        <f t="shared" si="18"/>
        <v>73367.657070600006</v>
      </c>
      <c r="Y26" s="1"/>
      <c r="Z26" s="5">
        <f t="shared" si="19"/>
        <v>1.1814197265844373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2233.5700000000002</v>
      </c>
      <c r="E27" s="2"/>
      <c r="F27" s="6">
        <f t="shared" si="12"/>
        <v>0.17488321909710317</v>
      </c>
      <c r="G27" s="2"/>
      <c r="H27" s="7">
        <v>798.26338424999994</v>
      </c>
      <c r="I27" s="2"/>
      <c r="J27" s="6">
        <f t="shared" si="13"/>
        <v>5.1670877354521326E-2</v>
      </c>
      <c r="K27" s="2"/>
      <c r="L27" s="7">
        <f t="shared" si="14"/>
        <v>1435.3066157500002</v>
      </c>
      <c r="M27" s="2"/>
      <c r="N27" s="6">
        <f t="shared" si="15"/>
        <v>1.7980363925855469</v>
      </c>
      <c r="O27" s="11"/>
      <c r="P27" s="7">
        <v>15800.65</v>
      </c>
      <c r="Q27" s="2"/>
      <c r="R27" s="6">
        <f t="shared" si="16"/>
        <v>0.2492622613845854</v>
      </c>
      <c r="S27" s="2"/>
      <c r="T27" s="7">
        <v>7045.8859794</v>
      </c>
      <c r="U27" s="2"/>
      <c r="V27" s="6">
        <f t="shared" si="17"/>
        <v>3.3599837765379115E-2</v>
      </c>
      <c r="W27" s="2"/>
      <c r="X27" s="7">
        <f t="shared" si="18"/>
        <v>8754.7640205999996</v>
      </c>
      <c r="Y27" s="2"/>
      <c r="Z27" s="6">
        <f t="shared" si="19"/>
        <v>1.2425355797973785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574.29</v>
      </c>
      <c r="E28" s="2"/>
      <c r="F28" s="6">
        <f t="shared" si="12"/>
        <v>4.4965541216651084E-2</v>
      </c>
      <c r="G28" s="2"/>
      <c r="H28" s="7">
        <v>909.92294249999998</v>
      </c>
      <c r="I28" s="2"/>
      <c r="J28" s="6">
        <f t="shared" si="13"/>
        <v>5.889850103566574E-2</v>
      </c>
      <c r="K28" s="2"/>
      <c r="L28" s="7">
        <f t="shared" si="14"/>
        <v>-335.63294250000001</v>
      </c>
      <c r="M28" s="2"/>
      <c r="N28" s="6">
        <f t="shared" si="15"/>
        <v>-0.36885864376367233</v>
      </c>
      <c r="O28" s="11"/>
      <c r="P28" s="7">
        <v>6500.68</v>
      </c>
      <c r="Q28" s="2"/>
      <c r="R28" s="6">
        <f t="shared" si="16"/>
        <v>0.10255111007063297</v>
      </c>
      <c r="S28" s="2"/>
      <c r="T28" s="7">
        <v>6421.8013860000001</v>
      </c>
      <c r="U28" s="2"/>
      <c r="V28" s="6">
        <f t="shared" si="17"/>
        <v>3.0623754821173105E-2</v>
      </c>
      <c r="W28" s="2"/>
      <c r="X28" s="7">
        <f t="shared" si="18"/>
        <v>78.878614000000198</v>
      </c>
      <c r="Y28" s="2"/>
      <c r="Z28" s="6">
        <f t="shared" si="19"/>
        <v>1.2282942006266557E-2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6634.06</v>
      </c>
      <c r="E29" s="2"/>
      <c r="F29" s="6">
        <f t="shared" si="12"/>
        <v>0.51943112079913689</v>
      </c>
      <c r="G29" s="2"/>
      <c r="H29" s="7">
        <v>3669.6153846153802</v>
      </c>
      <c r="I29" s="2"/>
      <c r="J29" s="6">
        <f t="shared" si="13"/>
        <v>0.23753093304520553</v>
      </c>
      <c r="K29" s="2"/>
      <c r="L29" s="7">
        <f t="shared" si="14"/>
        <v>2964.4446153846202</v>
      </c>
      <c r="M29" s="2"/>
      <c r="N29" s="6">
        <f t="shared" si="15"/>
        <v>0.80783523739650165</v>
      </c>
      <c r="O29" s="11"/>
      <c r="P29" s="7">
        <v>67467.63</v>
      </c>
      <c r="Q29" s="2"/>
      <c r="R29" s="6">
        <f t="shared" si="16"/>
        <v>1.0643317853416472</v>
      </c>
      <c r="S29" s="2"/>
      <c r="T29" s="7">
        <v>32709.5</v>
      </c>
      <c r="U29" s="2"/>
      <c r="V29" s="6">
        <f t="shared" si="17"/>
        <v>0.15598235574630426</v>
      </c>
      <c r="W29" s="2"/>
      <c r="X29" s="7">
        <f t="shared" si="18"/>
        <v>34758.130000000005</v>
      </c>
      <c r="Y29" s="2"/>
      <c r="Z29" s="6">
        <f t="shared" si="19"/>
        <v>1.0626310399119523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49.74</v>
      </c>
      <c r="E30" s="2"/>
      <c r="F30" s="6">
        <f t="shared" si="12"/>
        <v>3.8945237077369016E-3</v>
      </c>
      <c r="G30" s="2"/>
      <c r="H30" s="7">
        <v>55.146844999999999</v>
      </c>
      <c r="I30" s="2"/>
      <c r="J30" s="6">
        <f t="shared" si="13"/>
        <v>3.569606123373681E-3</v>
      </c>
      <c r="K30" s="2"/>
      <c r="L30" s="7">
        <f t="shared" si="14"/>
        <v>-5.406844999999997</v>
      </c>
      <c r="M30" s="2"/>
      <c r="N30" s="6">
        <f t="shared" si="15"/>
        <v>-9.8044502817885543E-2</v>
      </c>
      <c r="O30" s="11"/>
      <c r="P30" s="7">
        <v>572</v>
      </c>
      <c r="Q30" s="2"/>
      <c r="R30" s="6">
        <f t="shared" si="16"/>
        <v>9.0235536836764853E-3</v>
      </c>
      <c r="S30" s="2"/>
      <c r="T30" s="7">
        <v>389.200084</v>
      </c>
      <c r="U30" s="2"/>
      <c r="V30" s="6">
        <f t="shared" si="17"/>
        <v>1.855985140677158E-3</v>
      </c>
      <c r="W30" s="2"/>
      <c r="X30" s="7">
        <f t="shared" si="18"/>
        <v>182.799916</v>
      </c>
      <c r="Y30" s="2"/>
      <c r="Z30" s="6">
        <f t="shared" si="19"/>
        <v>0.46968108054159619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1499.84</v>
      </c>
      <c r="E31" s="2"/>
      <c r="F31" s="6">
        <f t="shared" si="12"/>
        <v>0.11743390506256764</v>
      </c>
      <c r="G31" s="2"/>
      <c r="H31" s="7">
        <v>542.72235000000001</v>
      </c>
      <c r="I31" s="2"/>
      <c r="J31" s="6">
        <f t="shared" si="13"/>
        <v>3.5129933976309147E-2</v>
      </c>
      <c r="K31" s="2"/>
      <c r="L31" s="7">
        <f t="shared" si="14"/>
        <v>957.11764999999991</v>
      </c>
      <c r="M31" s="2"/>
      <c r="N31" s="6">
        <f t="shared" si="15"/>
        <v>1.7635493544719503</v>
      </c>
      <c r="O31" s="11"/>
      <c r="P31" s="7">
        <v>15928.12</v>
      </c>
      <c r="Q31" s="2"/>
      <c r="R31" s="6">
        <f t="shared" si="16"/>
        <v>0.25127315716790405</v>
      </c>
      <c r="S31" s="2"/>
      <c r="T31" s="7">
        <v>4775.9566800000002</v>
      </c>
      <c r="U31" s="2"/>
      <c r="V31" s="6">
        <f t="shared" si="17"/>
        <v>2.2775186838340487E-2</v>
      </c>
      <c r="W31" s="2"/>
      <c r="X31" s="7">
        <f t="shared" si="18"/>
        <v>11152.16332</v>
      </c>
      <c r="Y31" s="2"/>
      <c r="Z31" s="6">
        <f t="shared" si="19"/>
        <v>2.3350637510388808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>
        <v>2160.6</v>
      </c>
      <c r="E33" s="2"/>
      <c r="F33" s="6">
        <f t="shared" si="12"/>
        <v>0.16916984163523019</v>
      </c>
      <c r="G33" s="2"/>
      <c r="H33" s="7">
        <v>521.53625</v>
      </c>
      <c r="I33" s="2"/>
      <c r="J33" s="6">
        <f t="shared" si="13"/>
        <v>3.3758576606900126E-2</v>
      </c>
      <c r="K33" s="2"/>
      <c r="L33" s="7">
        <f t="shared" si="14"/>
        <v>1639.0637499999998</v>
      </c>
      <c r="M33" s="2"/>
      <c r="N33" s="6">
        <f t="shared" si="15"/>
        <v>3.1427609298490755</v>
      </c>
      <c r="O33" s="11"/>
      <c r="P33" s="7">
        <v>15258.88</v>
      </c>
      <c r="Q33" s="2"/>
      <c r="R33" s="6">
        <f t="shared" si="16"/>
        <v>0.24071559935800252</v>
      </c>
      <c r="S33" s="2"/>
      <c r="T33" s="7">
        <v>4477.2489999999998</v>
      </c>
      <c r="U33" s="2"/>
      <c r="V33" s="6">
        <f t="shared" si="17"/>
        <v>2.1350734382451119E-2</v>
      </c>
      <c r="W33" s="2"/>
      <c r="X33" s="7">
        <f t="shared" si="18"/>
        <v>10781.630999999999</v>
      </c>
      <c r="Y33" s="2"/>
      <c r="Z33" s="6">
        <f t="shared" si="19"/>
        <v>2.4080927819739308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>
        <v>1308.42</v>
      </c>
      <c r="E34" s="2"/>
      <c r="F34" s="6">
        <f t="shared" si="12"/>
        <v>0.10244617429990183</v>
      </c>
      <c r="G34" s="2"/>
      <c r="H34" s="7">
        <v>844.92425000000003</v>
      </c>
      <c r="I34" s="2"/>
      <c r="J34" s="6">
        <f t="shared" si="13"/>
        <v>5.4691193604764064E-2</v>
      </c>
      <c r="K34" s="2"/>
      <c r="L34" s="7">
        <f t="shared" si="14"/>
        <v>463.49575000000004</v>
      </c>
      <c r="M34" s="2"/>
      <c r="N34" s="6">
        <f t="shared" si="15"/>
        <v>0.54856485655370879</v>
      </c>
      <c r="O34" s="11"/>
      <c r="P34" s="7">
        <v>9509.86</v>
      </c>
      <c r="Q34" s="2"/>
      <c r="R34" s="6">
        <f t="shared" si="16"/>
        <v>0.15002225915078263</v>
      </c>
      <c r="S34" s="2"/>
      <c r="T34" s="7">
        <v>6281.6697999999997</v>
      </c>
      <c r="U34" s="2"/>
      <c r="V34" s="6">
        <f t="shared" si="17"/>
        <v>2.9955506914639961E-2</v>
      </c>
      <c r="W34" s="2"/>
      <c r="X34" s="7">
        <f t="shared" si="18"/>
        <v>3228.1902000000009</v>
      </c>
      <c r="Y34" s="2"/>
      <c r="Z34" s="6">
        <f t="shared" si="19"/>
        <v>0.51390638202600225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659.11</v>
      </c>
      <c r="E35" s="2"/>
      <c r="F35" s="6">
        <f t="shared" si="12"/>
        <v>5.1606745496712292E-2</v>
      </c>
      <c r="G35" s="2"/>
      <c r="H35" s="7"/>
      <c r="I35" s="2"/>
      <c r="J35" s="6">
        <f t="shared" si="13"/>
        <v>0</v>
      </c>
      <c r="K35" s="2"/>
      <c r="L35" s="7">
        <f t="shared" si="14"/>
        <v>659.11</v>
      </c>
      <c r="M35" s="2"/>
      <c r="N35" s="6">
        <f t="shared" si="15"/>
        <v>0</v>
      </c>
      <c r="O35" s="11"/>
      <c r="P35" s="7">
        <v>4431.1000000000004</v>
      </c>
      <c r="Q35" s="2"/>
      <c r="R35" s="6">
        <f t="shared" si="16"/>
        <v>6.9902567705837193E-2</v>
      </c>
      <c r="S35" s="2"/>
      <c r="T35" s="7"/>
      <c r="U35" s="2"/>
      <c r="V35" s="6">
        <f t="shared" si="17"/>
        <v>0</v>
      </c>
      <c r="W35" s="2"/>
      <c r="X35" s="7">
        <f t="shared" si="18"/>
        <v>4431.1000000000004</v>
      </c>
      <c r="Y35" s="2"/>
      <c r="Z35" s="6">
        <f t="shared" si="19"/>
        <v>0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18096.319999999996</v>
      </c>
      <c r="E36" s="1"/>
      <c r="F36" s="5">
        <f t="shared" ref="F36:F46" si="20">IF(D$12=0,0,D36/D$12)</f>
        <v>1.416898819115268</v>
      </c>
      <c r="G36" s="1"/>
      <c r="H36" s="1">
        <f>SUM(OSRRefH22_1x_0)</f>
        <v>19843.864500000003</v>
      </c>
      <c r="I36" s="1"/>
      <c r="J36" s="5">
        <f t="shared" ref="J36:J46" si="21">IF(H$12=0,0,H36/H$12)</f>
        <v>1.2844756618551365</v>
      </c>
      <c r="K36" s="1"/>
      <c r="L36" s="1">
        <f t="shared" ref="L36:L46" si="22">+D36-H36</f>
        <v>-1747.5445000000072</v>
      </c>
      <c r="M36" s="1"/>
      <c r="N36" s="5">
        <f t="shared" ref="N36:N46" si="23">IF(H36=0,0,L36/H36)</f>
        <v>-8.806472650526348E-2</v>
      </c>
      <c r="O36" s="13"/>
      <c r="P36" s="1">
        <f>SUM(OSRRefP22_1x_0)</f>
        <v>173626.61</v>
      </c>
      <c r="Q36" s="1"/>
      <c r="R36" s="5">
        <f t="shared" ref="R36:R46" si="24">IF(P$12=0,0,P36/P$12)</f>
        <v>2.7390367766604204</v>
      </c>
      <c r="S36" s="1"/>
      <c r="T36" s="1">
        <f>SUM(OSRRefT22_1x_0)</f>
        <v>138933.42119999998</v>
      </c>
      <c r="U36" s="1"/>
      <c r="V36" s="5">
        <f t="shared" ref="V36:V46" si="25">IF(T$12=0,0,T36/T$12)</f>
        <v>0.66253419742489261</v>
      </c>
      <c r="W36" s="1"/>
      <c r="X36" s="1">
        <f t="shared" ref="X36:X46" si="26">+P36-T36</f>
        <v>34693.188800000004</v>
      </c>
      <c r="Y36" s="1"/>
      <c r="Z36" s="5">
        <f t="shared" ref="Z36:Z46" si="27">IF(T36=0,0,X36/T36)</f>
        <v>0.24971089389685314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>
        <v>14540.3</v>
      </c>
      <c r="E38" s="2"/>
      <c r="F38" s="6">
        <f t="shared" si="20"/>
        <v>1.1384709100845771</v>
      </c>
      <c r="G38" s="2"/>
      <c r="H38" s="7">
        <v>5679.6525000000001</v>
      </c>
      <c r="I38" s="2"/>
      <c r="J38" s="6">
        <f t="shared" si="21"/>
        <v>0.36763884393811896</v>
      </c>
      <c r="K38" s="2"/>
      <c r="L38" s="7">
        <f t="shared" si="22"/>
        <v>8860.6474999999991</v>
      </c>
      <c r="M38" s="2"/>
      <c r="N38" s="6">
        <f t="shared" si="23"/>
        <v>1.5600685957459544</v>
      </c>
      <c r="O38" s="11"/>
      <c r="P38" s="7">
        <v>141983.51</v>
      </c>
      <c r="Q38" s="2"/>
      <c r="R38" s="6">
        <f t="shared" si="24"/>
        <v>2.2398528403528273</v>
      </c>
      <c r="S38" s="2"/>
      <c r="T38" s="7">
        <v>49980.942000000003</v>
      </c>
      <c r="U38" s="2"/>
      <c r="V38" s="6">
        <f t="shared" si="25"/>
        <v>0.23834497854077255</v>
      </c>
      <c r="W38" s="2"/>
      <c r="X38" s="7">
        <f t="shared" si="26"/>
        <v>92002.567999999999</v>
      </c>
      <c r="Y38" s="2"/>
      <c r="Z38" s="6">
        <f t="shared" si="27"/>
        <v>1.8407529814063928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>
        <v>3950.03</v>
      </c>
      <c r="E40" s="2"/>
      <c r="F40" s="6">
        <f t="shared" si="20"/>
        <v>0.30927795499139515</v>
      </c>
      <c r="G40" s="2"/>
      <c r="H40" s="7">
        <v>3708</v>
      </c>
      <c r="I40" s="2"/>
      <c r="J40" s="6">
        <f t="shared" si="21"/>
        <v>0.24001553498608325</v>
      </c>
      <c r="K40" s="2"/>
      <c r="L40" s="7">
        <f t="shared" si="22"/>
        <v>242.0300000000002</v>
      </c>
      <c r="M40" s="2"/>
      <c r="N40" s="6">
        <f t="shared" si="23"/>
        <v>6.5272384034520015E-2</v>
      </c>
      <c r="O40" s="11"/>
      <c r="P40" s="7">
        <v>28509.360000000001</v>
      </c>
      <c r="Q40" s="2"/>
      <c r="R40" s="6">
        <f t="shared" si="24"/>
        <v>0.44974779798471864</v>
      </c>
      <c r="S40" s="2"/>
      <c r="T40" s="7">
        <v>30609.54</v>
      </c>
      <c r="U40" s="2"/>
      <c r="V40" s="6">
        <f t="shared" si="25"/>
        <v>0.14596824034334765</v>
      </c>
      <c r="W40" s="2"/>
      <c r="X40" s="7">
        <f t="shared" si="26"/>
        <v>-2100.1800000000003</v>
      </c>
      <c r="Y40" s="2"/>
      <c r="Z40" s="6">
        <f t="shared" si="27"/>
        <v>-6.8611942551243837E-2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>
        <v>382.01</v>
      </c>
      <c r="E41" s="2"/>
      <c r="F41" s="6">
        <f t="shared" si="20"/>
        <v>2.9910474499247563E-2</v>
      </c>
      <c r="G41" s="2"/>
      <c r="H41" s="7">
        <v>5144.88</v>
      </c>
      <c r="I41" s="2"/>
      <c r="J41" s="6">
        <f t="shared" si="21"/>
        <v>0.33302349666645092</v>
      </c>
      <c r="K41" s="2"/>
      <c r="L41" s="7">
        <f t="shared" si="22"/>
        <v>-4762.87</v>
      </c>
      <c r="M41" s="2"/>
      <c r="N41" s="6">
        <f t="shared" si="23"/>
        <v>-0.92574948298113846</v>
      </c>
      <c r="O41" s="11"/>
      <c r="P41" s="7">
        <v>2986.05</v>
      </c>
      <c r="Q41" s="2"/>
      <c r="R41" s="6">
        <f t="shared" si="24"/>
        <v>4.710626307192687E-2</v>
      </c>
      <c r="S41" s="2"/>
      <c r="T41" s="7">
        <v>30521.243999999999</v>
      </c>
      <c r="U41" s="2"/>
      <c r="V41" s="6">
        <f t="shared" si="25"/>
        <v>0.14554718168812589</v>
      </c>
      <c r="W41" s="2"/>
      <c r="X41" s="7">
        <f t="shared" si="26"/>
        <v>-27535.194</v>
      </c>
      <c r="Y41" s="2"/>
      <c r="Z41" s="6">
        <f t="shared" si="27"/>
        <v>-0.90216486588816636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>
        <v>-776.02</v>
      </c>
      <c r="E43" s="2"/>
      <c r="F43" s="6">
        <f t="shared" si="20"/>
        <v>-6.0760520459951554E-2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-776.02</v>
      </c>
      <c r="M43" s="2"/>
      <c r="N43" s="6">
        <f t="shared" si="23"/>
        <v>0</v>
      </c>
      <c r="O43" s="11"/>
      <c r="P43" s="7">
        <v>147.69</v>
      </c>
      <c r="Q43" s="2"/>
      <c r="R43" s="6">
        <f t="shared" si="24"/>
        <v>2.3298752509478674E-3</v>
      </c>
      <c r="S43" s="2"/>
      <c r="T43" s="7">
        <v>2446.34</v>
      </c>
      <c r="U43" s="2"/>
      <c r="V43" s="6">
        <f t="shared" si="25"/>
        <v>1.1665903671912257E-2</v>
      </c>
      <c r="W43" s="2"/>
      <c r="X43" s="7">
        <f t="shared" si="26"/>
        <v>-2298.65</v>
      </c>
      <c r="Y43" s="2"/>
      <c r="Z43" s="6">
        <f t="shared" si="27"/>
        <v>-0.93962817923918995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5311.3320000000003</v>
      </c>
      <c r="I44" s="2"/>
      <c r="J44" s="6">
        <f t="shared" si="21"/>
        <v>0.34379778626448315</v>
      </c>
      <c r="K44" s="2"/>
      <c r="L44" s="7">
        <f t="shared" si="22"/>
        <v>-5311.3320000000003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25375.355200000002</v>
      </c>
      <c r="U44" s="2"/>
      <c r="V44" s="6">
        <f t="shared" si="25"/>
        <v>0.12100789318073439</v>
      </c>
      <c r="W44" s="2"/>
      <c r="X44" s="7">
        <f t="shared" si="26"/>
        <v>-25375.355200000002</v>
      </c>
      <c r="Y44" s="2"/>
      <c r="Z44" s="6">
        <f t="shared" si="27"/>
        <v>-1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4.58</v>
      </c>
      <c r="E47" s="1"/>
      <c r="F47" s="5">
        <f t="shared" ref="F47:F55" si="28">IF(D$12=0,0,D47/D$12)</f>
        <v>3.5860310778920403E-4</v>
      </c>
      <c r="G47" s="1"/>
      <c r="H47" s="1">
        <f>SUM(OSRRefH22_2x_0)</f>
        <v>320</v>
      </c>
      <c r="I47" s="1"/>
      <c r="J47" s="5">
        <f t="shared" ref="J47:J55" si="29">IF(H$12=0,0,H47/H$12)</f>
        <v>2.0713314777655513E-2</v>
      </c>
      <c r="K47" s="1"/>
      <c r="L47" s="1">
        <f t="shared" ref="L47:L55" si="30">+D47-H47</f>
        <v>-315.42</v>
      </c>
      <c r="M47" s="1"/>
      <c r="N47" s="5">
        <f t="shared" ref="N47:N55" si="31">IF(H47=0,0,L47/H47)</f>
        <v>-0.98568750000000005</v>
      </c>
      <c r="O47" s="13"/>
      <c r="P47" s="1">
        <f>SUM(OSRRefP22_2x_0)</f>
        <v>293.77</v>
      </c>
      <c r="Q47" s="1"/>
      <c r="R47" s="5">
        <f t="shared" ref="R47:R55" si="32">IF(P$12=0,0,P47/P$12)</f>
        <v>4.6343520378560156E-3</v>
      </c>
      <c r="S47" s="1"/>
      <c r="T47" s="1">
        <f>SUM(OSRRefT22_2x_0)</f>
        <v>5879</v>
      </c>
      <c r="U47" s="1"/>
      <c r="V47" s="5">
        <f t="shared" ref="V47:V55" si="33">IF(T$12=0,0,T47/T$12)</f>
        <v>2.8035288507391513E-2</v>
      </c>
      <c r="W47" s="1"/>
      <c r="X47" s="1">
        <f t="shared" ref="X47:X55" si="34">+P47-T47</f>
        <v>-5585.23</v>
      </c>
      <c r="Y47" s="1"/>
      <c r="Z47" s="5">
        <f t="shared" ref="Z47:Z55" si="35">IF(T47=0,0,X47/T47)</f>
        <v>-0.9500306174519475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>
        <v>4.58</v>
      </c>
      <c r="E48" s="2"/>
      <c r="F48" s="6">
        <f t="shared" si="28"/>
        <v>3.5860310778920403E-4</v>
      </c>
      <c r="G48" s="2"/>
      <c r="H48" s="7">
        <v>320</v>
      </c>
      <c r="I48" s="2"/>
      <c r="J48" s="6">
        <f t="shared" si="29"/>
        <v>2.0713314777655513E-2</v>
      </c>
      <c r="K48" s="2"/>
      <c r="L48" s="7">
        <f t="shared" si="30"/>
        <v>-315.42</v>
      </c>
      <c r="M48" s="2"/>
      <c r="N48" s="6">
        <f t="shared" si="31"/>
        <v>-0.98568750000000005</v>
      </c>
      <c r="O48" s="11"/>
      <c r="P48" s="7">
        <v>293.77</v>
      </c>
      <c r="Q48" s="2"/>
      <c r="R48" s="6">
        <f t="shared" si="32"/>
        <v>4.6343520378560156E-3</v>
      </c>
      <c r="S48" s="2"/>
      <c r="T48" s="7">
        <v>5879</v>
      </c>
      <c r="U48" s="2"/>
      <c r="V48" s="6">
        <f t="shared" si="33"/>
        <v>2.8035288507391513E-2</v>
      </c>
      <c r="W48" s="2"/>
      <c r="X48" s="7">
        <f t="shared" si="34"/>
        <v>-5585.23</v>
      </c>
      <c r="Y48" s="2"/>
      <c r="Z48" s="6">
        <f t="shared" si="35"/>
        <v>-0.9500306174519475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0.57999999999999996</v>
      </c>
      <c r="E49" s="1"/>
      <c r="F49" s="5">
        <f t="shared" si="28"/>
        <v>4.5412620637060772E-5</v>
      </c>
      <c r="G49" s="1"/>
      <c r="H49" s="1">
        <f>SUM(OSRRefH22_3x_0)</f>
        <v>5</v>
      </c>
      <c r="I49" s="1"/>
      <c r="J49" s="5">
        <f t="shared" si="29"/>
        <v>3.2364554340086739E-4</v>
      </c>
      <c r="K49" s="1"/>
      <c r="L49" s="1">
        <f t="shared" si="30"/>
        <v>-4.42</v>
      </c>
      <c r="M49" s="1"/>
      <c r="N49" s="5">
        <f t="shared" si="31"/>
        <v>-0.88400000000000001</v>
      </c>
      <c r="O49" s="13"/>
      <c r="P49" s="1">
        <f>SUM(OSRRefP22_3x_0)</f>
        <v>8.98</v>
      </c>
      <c r="Q49" s="1"/>
      <c r="R49" s="5">
        <f t="shared" si="32"/>
        <v>1.4166348265631966E-4</v>
      </c>
      <c r="S49" s="1"/>
      <c r="T49" s="1">
        <f>SUM(OSRRefT22_3x_0)</f>
        <v>80</v>
      </c>
      <c r="U49" s="1"/>
      <c r="V49" s="5">
        <f t="shared" si="33"/>
        <v>3.8149737720553169E-4</v>
      </c>
      <c r="W49" s="1"/>
      <c r="X49" s="1">
        <f t="shared" si="34"/>
        <v>-71.02</v>
      </c>
      <c r="Y49" s="1"/>
      <c r="Z49" s="5">
        <f t="shared" si="35"/>
        <v>-0.88774999999999993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>
        <v>0.57999999999999996</v>
      </c>
      <c r="E50" s="2"/>
      <c r="F50" s="6">
        <f t="shared" si="28"/>
        <v>4.5412620637060772E-5</v>
      </c>
      <c r="G50" s="2"/>
      <c r="H50" s="7">
        <v>5</v>
      </c>
      <c r="I50" s="2"/>
      <c r="J50" s="6">
        <f t="shared" si="29"/>
        <v>3.2364554340086739E-4</v>
      </c>
      <c r="K50" s="2"/>
      <c r="L50" s="7">
        <f t="shared" si="30"/>
        <v>-4.42</v>
      </c>
      <c r="M50" s="2"/>
      <c r="N50" s="6">
        <f t="shared" si="31"/>
        <v>-0.88400000000000001</v>
      </c>
      <c r="O50" s="11"/>
      <c r="P50" s="7">
        <v>8.98</v>
      </c>
      <c r="Q50" s="2"/>
      <c r="R50" s="6">
        <f t="shared" si="32"/>
        <v>1.4166348265631966E-4</v>
      </c>
      <c r="S50" s="2"/>
      <c r="T50" s="7">
        <v>80</v>
      </c>
      <c r="U50" s="2"/>
      <c r="V50" s="6">
        <f t="shared" si="33"/>
        <v>3.8149737720553169E-4</v>
      </c>
      <c r="W50" s="2"/>
      <c r="X50" s="7">
        <f t="shared" si="34"/>
        <v>-71.02</v>
      </c>
      <c r="Y50" s="2"/>
      <c r="Z50" s="6">
        <f t="shared" si="35"/>
        <v>-0.88774999999999993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472.29</v>
      </c>
      <c r="E51" s="1"/>
      <c r="F51" s="5">
        <f t="shared" si="28"/>
        <v>3.6979183794271439E-2</v>
      </c>
      <c r="G51" s="1"/>
      <c r="H51" s="1">
        <f>SUM(OSRRefH22_4x_0)</f>
        <v>1020</v>
      </c>
      <c r="I51" s="1"/>
      <c r="J51" s="5">
        <f t="shared" si="29"/>
        <v>6.6023690853776948E-2</v>
      </c>
      <c r="K51" s="1"/>
      <c r="L51" s="1">
        <f t="shared" si="30"/>
        <v>-547.71</v>
      </c>
      <c r="M51" s="1"/>
      <c r="N51" s="5">
        <f t="shared" si="31"/>
        <v>-0.5369705882352942</v>
      </c>
      <c r="O51" s="13"/>
      <c r="P51" s="1">
        <f>SUM(OSRRefP22_4x_0)</f>
        <v>1949.74</v>
      </c>
      <c r="Q51" s="1"/>
      <c r="R51" s="5">
        <f t="shared" si="32"/>
        <v>3.0758013215404528E-2</v>
      </c>
      <c r="S51" s="1"/>
      <c r="T51" s="1">
        <f>SUM(OSRRefT22_4x_0)</f>
        <v>26383</v>
      </c>
      <c r="U51" s="1"/>
      <c r="V51" s="5">
        <f t="shared" si="33"/>
        <v>0.12581306628516928</v>
      </c>
      <c r="W51" s="1"/>
      <c r="X51" s="1">
        <f t="shared" si="34"/>
        <v>-24433.26</v>
      </c>
      <c r="Y51" s="1"/>
      <c r="Z51" s="5">
        <f t="shared" si="35"/>
        <v>-0.92609862411401278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>
        <v>472.29</v>
      </c>
      <c r="E52" s="2"/>
      <c r="F52" s="6">
        <f t="shared" si="28"/>
        <v>3.6979183794271439E-2</v>
      </c>
      <c r="G52" s="2"/>
      <c r="H52" s="7">
        <v>1020</v>
      </c>
      <c r="I52" s="2"/>
      <c r="J52" s="6">
        <f t="shared" si="29"/>
        <v>6.6023690853776948E-2</v>
      </c>
      <c r="K52" s="2"/>
      <c r="L52" s="7">
        <f t="shared" si="30"/>
        <v>-547.71</v>
      </c>
      <c r="M52" s="2"/>
      <c r="N52" s="6">
        <f t="shared" si="31"/>
        <v>-0.5369705882352942</v>
      </c>
      <c r="O52" s="11"/>
      <c r="P52" s="7">
        <v>1949.74</v>
      </c>
      <c r="Q52" s="2"/>
      <c r="R52" s="6">
        <f t="shared" si="32"/>
        <v>3.0758013215404528E-2</v>
      </c>
      <c r="S52" s="2"/>
      <c r="T52" s="7">
        <v>26383</v>
      </c>
      <c r="U52" s="2"/>
      <c r="V52" s="6">
        <f t="shared" si="33"/>
        <v>0.12581306628516928</v>
      </c>
      <c r="W52" s="2"/>
      <c r="X52" s="7">
        <f t="shared" si="34"/>
        <v>-24433.26</v>
      </c>
      <c r="Y52" s="2"/>
      <c r="Z52" s="6">
        <f t="shared" si="35"/>
        <v>-0.92609862411401278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13902.32</v>
      </c>
      <c r="E53" s="1"/>
      <c r="F53" s="5">
        <f t="shared" si="28"/>
        <v>1.088518593336246</v>
      </c>
      <c r="G53" s="1"/>
      <c r="H53" s="1">
        <f>SUM(OSRRefH22_5x_0)</f>
        <v>13630</v>
      </c>
      <c r="I53" s="1"/>
      <c r="J53" s="5">
        <f t="shared" si="29"/>
        <v>0.88225775131076445</v>
      </c>
      <c r="K53" s="1"/>
      <c r="L53" s="1">
        <f t="shared" si="30"/>
        <v>272.31999999999971</v>
      </c>
      <c r="M53" s="1"/>
      <c r="N53" s="5">
        <f t="shared" si="31"/>
        <v>1.997945707997063E-2</v>
      </c>
      <c r="O53" s="13"/>
      <c r="P53" s="1">
        <f>SUM(OSRRefP22_5x_0)</f>
        <v>138988.48000000001</v>
      </c>
      <c r="Q53" s="1"/>
      <c r="R53" s="5">
        <f t="shared" si="32"/>
        <v>2.192604913798244</v>
      </c>
      <c r="S53" s="1"/>
      <c r="T53" s="1">
        <f>SUM(OSRRefT22_5x_0)</f>
        <v>136528</v>
      </c>
      <c r="U53" s="1"/>
      <c r="V53" s="5">
        <f t="shared" si="33"/>
        <v>0.65106342393896044</v>
      </c>
      <c r="W53" s="1"/>
      <c r="X53" s="1">
        <f t="shared" si="34"/>
        <v>2460.4800000000105</v>
      </c>
      <c r="Y53" s="1"/>
      <c r="Z53" s="5">
        <f t="shared" si="35"/>
        <v>1.8021797726473766E-2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0.82974025546948049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105972.6</v>
      </c>
      <c r="Q54" s="2"/>
      <c r="R54" s="6">
        <f t="shared" si="32"/>
        <v>1.6717647641586972</v>
      </c>
      <c r="S54" s="2"/>
      <c r="T54" s="7"/>
      <c r="U54" s="2"/>
      <c r="V54" s="6">
        <f t="shared" si="33"/>
        <v>0</v>
      </c>
      <c r="W54" s="2"/>
      <c r="X54" s="7">
        <f t="shared" si="34"/>
        <v>105972.6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3305.06</v>
      </c>
      <c r="E55" s="2"/>
      <c r="F55" s="6">
        <f t="shared" si="28"/>
        <v>0.25877833786676563</v>
      </c>
      <c r="G55" s="2"/>
      <c r="H55" s="7">
        <v>13630</v>
      </c>
      <c r="I55" s="2"/>
      <c r="J55" s="6">
        <f t="shared" si="29"/>
        <v>0.88225775131076445</v>
      </c>
      <c r="K55" s="2"/>
      <c r="L55" s="7">
        <f t="shared" si="30"/>
        <v>-10324.94</v>
      </c>
      <c r="M55" s="2"/>
      <c r="N55" s="6">
        <f t="shared" si="31"/>
        <v>-0.75751577402787973</v>
      </c>
      <c r="O55" s="11"/>
      <c r="P55" s="7">
        <v>33015.879999999997</v>
      </c>
      <c r="Q55" s="2"/>
      <c r="R55" s="6">
        <f t="shared" si="32"/>
        <v>0.52084014963954683</v>
      </c>
      <c r="S55" s="2"/>
      <c r="T55" s="7">
        <v>136528</v>
      </c>
      <c r="U55" s="2"/>
      <c r="V55" s="6">
        <f t="shared" si="33"/>
        <v>0.65106342393896044</v>
      </c>
      <c r="W55" s="2"/>
      <c r="X55" s="7">
        <f t="shared" si="34"/>
        <v>-103512.12</v>
      </c>
      <c r="Y55" s="2"/>
      <c r="Z55" s="6">
        <f t="shared" si="35"/>
        <v>-0.75817502636821743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8" si="36">IF(D$12=0,0,D56/D$12)</f>
        <v>0</v>
      </c>
      <c r="G56" s="1"/>
      <c r="H56" s="1">
        <f>SUM(OSRRefH22_6x_0)</f>
        <v>0</v>
      </c>
      <c r="I56" s="1"/>
      <c r="J56" s="5">
        <f t="shared" ref="J56:J68" si="37">IF(H$12=0,0,H56/H$12)</f>
        <v>0</v>
      </c>
      <c r="K56" s="1"/>
      <c r="L56" s="1">
        <f t="shared" ref="L56:L68" si="38">+D56-H56</f>
        <v>0</v>
      </c>
      <c r="M56" s="1"/>
      <c r="N56" s="5">
        <f t="shared" ref="N56:N68" si="39">IF(H56=0,0,L56/H56)</f>
        <v>0</v>
      </c>
      <c r="O56" s="13"/>
      <c r="P56" s="1">
        <f>SUM(OSRRefP22_6x_0)</f>
        <v>10</v>
      </c>
      <c r="Q56" s="1"/>
      <c r="R56" s="5">
        <f t="shared" ref="R56:R68" si="40">IF(P$12=0,0,P56/P$12)</f>
        <v>1.577544350293092E-4</v>
      </c>
      <c r="S56" s="1"/>
      <c r="T56" s="1">
        <f>SUM(OSRRefT22_6x_0)</f>
        <v>100</v>
      </c>
      <c r="U56" s="1"/>
      <c r="V56" s="5">
        <f t="shared" ref="V56:V68" si="41">IF(T$12=0,0,T56/T$12)</f>
        <v>4.7687172150691462E-4</v>
      </c>
      <c r="W56" s="1"/>
      <c r="X56" s="1">
        <f t="shared" ref="X56:X68" si="42">+P56-T56</f>
        <v>-90</v>
      </c>
      <c r="Y56" s="1"/>
      <c r="Z56" s="5">
        <f t="shared" ref="Z56:Z68" si="43">IF(T56=0,0,X56/T56)</f>
        <v>-0.9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10</v>
      </c>
      <c r="Q57" s="2"/>
      <c r="R57" s="6">
        <f t="shared" si="40"/>
        <v>1.577544350293092E-4</v>
      </c>
      <c r="S57" s="2"/>
      <c r="T57" s="7">
        <v>100</v>
      </c>
      <c r="U57" s="2"/>
      <c r="V57" s="6">
        <f t="shared" si="41"/>
        <v>4.7687172150691462E-4</v>
      </c>
      <c r="W57" s="2"/>
      <c r="X57" s="7">
        <f t="shared" si="42"/>
        <v>-90</v>
      </c>
      <c r="Y57" s="2"/>
      <c r="Z57" s="6">
        <f t="shared" si="43"/>
        <v>-0.9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476.33</v>
      </c>
      <c r="E58" s="1"/>
      <c r="F58" s="5">
        <f t="shared" si="36"/>
        <v>3.7295506186295097E-2</v>
      </c>
      <c r="G58" s="1"/>
      <c r="H58" s="1">
        <f>SUM(OSRRefH22_7x_0)</f>
        <v>146</v>
      </c>
      <c r="I58" s="1"/>
      <c r="J58" s="5">
        <f t="shared" si="37"/>
        <v>9.4504498673053279E-3</v>
      </c>
      <c r="K58" s="1"/>
      <c r="L58" s="1">
        <f t="shared" si="38"/>
        <v>330.33</v>
      </c>
      <c r="M58" s="1"/>
      <c r="N58" s="5">
        <f t="shared" si="39"/>
        <v>2.2625342465753424</v>
      </c>
      <c r="O58" s="13"/>
      <c r="P58" s="1">
        <f>SUM(OSRRefP22_7x_0)</f>
        <v>1804.49</v>
      </c>
      <c r="Q58" s="1"/>
      <c r="R58" s="5">
        <f t="shared" si="40"/>
        <v>2.8466630046603814E-2</v>
      </c>
      <c r="S58" s="1"/>
      <c r="T58" s="1">
        <f>SUM(OSRRefT22_7x_0)</f>
        <v>1204</v>
      </c>
      <c r="U58" s="1"/>
      <c r="V58" s="5">
        <f t="shared" si="41"/>
        <v>5.7415355269432519E-3</v>
      </c>
      <c r="W58" s="1"/>
      <c r="X58" s="1">
        <f t="shared" si="42"/>
        <v>600.49</v>
      </c>
      <c r="Y58" s="1"/>
      <c r="Z58" s="5">
        <f t="shared" si="43"/>
        <v>0.49874584717607973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476.33</v>
      </c>
      <c r="E59" s="2"/>
      <c r="F59" s="6">
        <f t="shared" si="36"/>
        <v>3.7295506186295097E-2</v>
      </c>
      <c r="G59" s="2"/>
      <c r="H59" s="7">
        <v>146</v>
      </c>
      <c r="I59" s="2"/>
      <c r="J59" s="6">
        <f t="shared" si="37"/>
        <v>9.4504498673053279E-3</v>
      </c>
      <c r="K59" s="2"/>
      <c r="L59" s="7">
        <f t="shared" si="38"/>
        <v>330.33</v>
      </c>
      <c r="M59" s="2"/>
      <c r="N59" s="6">
        <f t="shared" si="39"/>
        <v>2.2625342465753424</v>
      </c>
      <c r="O59" s="11"/>
      <c r="P59" s="7">
        <v>1804.49</v>
      </c>
      <c r="Q59" s="2"/>
      <c r="R59" s="6">
        <f t="shared" si="40"/>
        <v>2.8466630046603814E-2</v>
      </c>
      <c r="S59" s="2"/>
      <c r="T59" s="7">
        <v>1204</v>
      </c>
      <c r="U59" s="2"/>
      <c r="V59" s="6">
        <f t="shared" si="41"/>
        <v>5.7415355269432519E-3</v>
      </c>
      <c r="W59" s="2"/>
      <c r="X59" s="7">
        <f t="shared" si="42"/>
        <v>600.49</v>
      </c>
      <c r="Y59" s="2"/>
      <c r="Z59" s="6">
        <f t="shared" si="43"/>
        <v>0.49874584717607973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2498.69</v>
      </c>
      <c r="Q60" s="1"/>
      <c r="R60" s="5">
        <f t="shared" si="40"/>
        <v>3.9417942926338462E-2</v>
      </c>
      <c r="S60" s="1"/>
      <c r="T60" s="1">
        <f>SUM(OSRRefT22_8x_0)</f>
        <v>1810</v>
      </c>
      <c r="U60" s="1"/>
      <c r="V60" s="5">
        <f t="shared" si="41"/>
        <v>8.6313781592751541E-3</v>
      </c>
      <c r="W60" s="1"/>
      <c r="X60" s="1">
        <f t="shared" si="42"/>
        <v>688.69</v>
      </c>
      <c r="Y60" s="1"/>
      <c r="Z60" s="5">
        <f t="shared" si="43"/>
        <v>0.38049171270718235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6"/>
        <v>0</v>
      </c>
      <c r="G61" s="2"/>
      <c r="H61" s="7">
        <v>0</v>
      </c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2498.69</v>
      </c>
      <c r="Q61" s="2"/>
      <c r="R61" s="6">
        <f t="shared" si="40"/>
        <v>3.9417942926338462E-2</v>
      </c>
      <c r="S61" s="2"/>
      <c r="T61" s="7">
        <v>1810</v>
      </c>
      <c r="U61" s="2"/>
      <c r="V61" s="6">
        <f t="shared" si="41"/>
        <v>8.6313781592751541E-3</v>
      </c>
      <c r="W61" s="2"/>
      <c r="X61" s="7">
        <f t="shared" si="42"/>
        <v>688.69</v>
      </c>
      <c r="Y61" s="2"/>
      <c r="Z61" s="6">
        <f t="shared" si="43"/>
        <v>0.38049171270718235</v>
      </c>
    </row>
    <row r="62" spans="1:26" s="25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5.021069890023161E-2</v>
      </c>
      <c r="G62" s="1"/>
      <c r="H62" s="1">
        <f>SUM(OSRRefH22_9x_0)</f>
        <v>705</v>
      </c>
      <c r="I62" s="1"/>
      <c r="J62" s="5">
        <f t="shared" si="37"/>
        <v>4.5634021619522298E-2</v>
      </c>
      <c r="K62" s="1"/>
      <c r="L62" s="1">
        <f t="shared" si="38"/>
        <v>-63.720000000000027</v>
      </c>
      <c r="M62" s="1"/>
      <c r="N62" s="5">
        <f t="shared" si="39"/>
        <v>-9.0382978723404298E-2</v>
      </c>
      <c r="O62" s="13"/>
      <c r="P62" s="1">
        <f>SUM(OSRRefP22_9x_0)</f>
        <v>6412.8</v>
      </c>
      <c r="Q62" s="1"/>
      <c r="R62" s="5">
        <f t="shared" si="40"/>
        <v>0.1011647640955954</v>
      </c>
      <c r="S62" s="1"/>
      <c r="T62" s="1">
        <f>SUM(OSRRefT22_9x_0)</f>
        <v>7050</v>
      </c>
      <c r="U62" s="1"/>
      <c r="V62" s="5">
        <f t="shared" si="41"/>
        <v>3.3619456366237484E-2</v>
      </c>
      <c r="W62" s="1"/>
      <c r="X62" s="1">
        <f t="shared" si="42"/>
        <v>-637.19999999999982</v>
      </c>
      <c r="Y62" s="1"/>
      <c r="Z62" s="5">
        <f t="shared" si="43"/>
        <v>-9.0382978723404228E-2</v>
      </c>
    </row>
    <row r="63" spans="1:26" s="24" customFormat="1" hidden="1" outlineLevel="2" x14ac:dyDescent="0.25">
      <c r="A63" s="26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6"/>
        <v>5.021069890023161E-2</v>
      </c>
      <c r="G63" s="2"/>
      <c r="H63" s="7">
        <v>705</v>
      </c>
      <c r="I63" s="2"/>
      <c r="J63" s="6">
        <f t="shared" si="37"/>
        <v>4.5634021619522298E-2</v>
      </c>
      <c r="K63" s="2"/>
      <c r="L63" s="7">
        <f t="shared" si="38"/>
        <v>-63.720000000000027</v>
      </c>
      <c r="M63" s="2"/>
      <c r="N63" s="6">
        <f t="shared" si="39"/>
        <v>-9.0382978723404298E-2</v>
      </c>
      <c r="O63" s="11"/>
      <c r="P63" s="7">
        <v>6412.8</v>
      </c>
      <c r="Q63" s="2"/>
      <c r="R63" s="6">
        <f t="shared" si="40"/>
        <v>0.1011647640955954</v>
      </c>
      <c r="S63" s="2"/>
      <c r="T63" s="7">
        <v>7050</v>
      </c>
      <c r="U63" s="2"/>
      <c r="V63" s="6">
        <f t="shared" si="41"/>
        <v>3.3619456366237484E-2</v>
      </c>
      <c r="W63" s="2"/>
      <c r="X63" s="7">
        <f t="shared" si="42"/>
        <v>-637.19999999999982</v>
      </c>
      <c r="Y63" s="2"/>
      <c r="Z63" s="6">
        <f t="shared" si="43"/>
        <v>-9.0382978723404228E-2</v>
      </c>
    </row>
    <row r="64" spans="1:26" s="25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5967</v>
      </c>
      <c r="E64" s="1"/>
      <c r="F64" s="5">
        <f t="shared" si="36"/>
        <v>0.46720190920920973</v>
      </c>
      <c r="G64" s="1"/>
      <c r="H64" s="1">
        <f>SUM(OSRRefH22_10x_0)</f>
        <v>7510</v>
      </c>
      <c r="I64" s="1"/>
      <c r="J64" s="5">
        <f t="shared" si="37"/>
        <v>0.48611560618810279</v>
      </c>
      <c r="K64" s="1"/>
      <c r="L64" s="1">
        <f t="shared" si="38"/>
        <v>-1543</v>
      </c>
      <c r="M64" s="1"/>
      <c r="N64" s="5">
        <f t="shared" si="39"/>
        <v>-0.20545938748335552</v>
      </c>
      <c r="O64" s="13"/>
      <c r="P64" s="1">
        <f>SUM(OSRRefP22_10x_0)</f>
        <v>73070.149999999994</v>
      </c>
      <c r="Q64" s="1"/>
      <c r="R64" s="5">
        <f t="shared" si="40"/>
        <v>1.1527140230756876</v>
      </c>
      <c r="S64" s="1"/>
      <c r="T64" s="1">
        <f>SUM(OSRRefT22_10x_0)</f>
        <v>75100</v>
      </c>
      <c r="U64" s="1"/>
      <c r="V64" s="5">
        <f t="shared" si="41"/>
        <v>0.35813066285169287</v>
      </c>
      <c r="W64" s="1"/>
      <c r="X64" s="1">
        <f t="shared" si="42"/>
        <v>-2029.8500000000058</v>
      </c>
      <c r="Y64" s="1"/>
      <c r="Z64" s="5">
        <f t="shared" si="43"/>
        <v>-2.7028628495339626E-2</v>
      </c>
    </row>
    <row r="65" spans="1:26" s="24" customFormat="1" hidden="1" outlineLevel="2" x14ac:dyDescent="0.25">
      <c r="A65" s="26"/>
      <c r="B65" s="11" t="str">
        <f>CONCATENATE("          ", "6401", " - ", "INTEREST EXPENSE")</f>
        <v xml:space="preserve">          6401 - INTEREST EXPENSE</v>
      </c>
      <c r="C65" s="11"/>
      <c r="D65" s="7">
        <v>5967</v>
      </c>
      <c r="E65" s="2"/>
      <c r="F65" s="6">
        <f t="shared" si="36"/>
        <v>0.46720190920920973</v>
      </c>
      <c r="G65" s="2"/>
      <c r="H65" s="7">
        <v>7510</v>
      </c>
      <c r="I65" s="2"/>
      <c r="J65" s="6">
        <f t="shared" si="37"/>
        <v>0.48611560618810279</v>
      </c>
      <c r="K65" s="2"/>
      <c r="L65" s="7">
        <f t="shared" si="38"/>
        <v>-1543</v>
      </c>
      <c r="M65" s="2"/>
      <c r="N65" s="6">
        <f t="shared" si="39"/>
        <v>-0.20545938748335552</v>
      </c>
      <c r="O65" s="11"/>
      <c r="P65" s="7">
        <v>73070.149999999994</v>
      </c>
      <c r="Q65" s="2"/>
      <c r="R65" s="6">
        <f t="shared" si="40"/>
        <v>1.1527140230756876</v>
      </c>
      <c r="S65" s="2"/>
      <c r="T65" s="7">
        <v>75100</v>
      </c>
      <c r="U65" s="2"/>
      <c r="V65" s="6">
        <f t="shared" si="41"/>
        <v>0.35813066285169287</v>
      </c>
      <c r="W65" s="2"/>
      <c r="X65" s="7">
        <f t="shared" si="42"/>
        <v>-2029.8500000000058</v>
      </c>
      <c r="Y65" s="2"/>
      <c r="Z65" s="6">
        <f t="shared" si="43"/>
        <v>-2.7028628495339626E-2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1980.63</v>
      </c>
      <c r="E66" s="1"/>
      <c r="F66" s="5">
        <f t="shared" si="36"/>
        <v>0.1550786186420374</v>
      </c>
      <c r="G66" s="1"/>
      <c r="H66" s="1">
        <f>SUM(OSRRefH22_11x_0)</f>
        <v>1000</v>
      </c>
      <c r="I66" s="1"/>
      <c r="J66" s="5">
        <f t="shared" si="37"/>
        <v>6.4729108680173481E-2</v>
      </c>
      <c r="K66" s="1"/>
      <c r="L66" s="1">
        <f t="shared" si="38"/>
        <v>980.63000000000011</v>
      </c>
      <c r="M66" s="1"/>
      <c r="N66" s="5">
        <f t="shared" si="39"/>
        <v>0.98063000000000011</v>
      </c>
      <c r="O66" s="13"/>
      <c r="P66" s="1">
        <f>SUM(OSRRefP22_11x_0)</f>
        <v>24624.91</v>
      </c>
      <c r="Q66" s="1"/>
      <c r="R66" s="5">
        <f t="shared" si="40"/>
        <v>0.38846887646975858</v>
      </c>
      <c r="S66" s="1"/>
      <c r="T66" s="1">
        <f>SUM(OSRRefT22_11x_0)</f>
        <v>23063</v>
      </c>
      <c r="U66" s="1"/>
      <c r="V66" s="5">
        <f t="shared" si="41"/>
        <v>0.10998092513113972</v>
      </c>
      <c r="W66" s="1"/>
      <c r="X66" s="1">
        <f t="shared" si="42"/>
        <v>1561.9099999999999</v>
      </c>
      <c r="Y66" s="1"/>
      <c r="Z66" s="5">
        <f t="shared" si="43"/>
        <v>6.7723626588041444E-2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7467.86</v>
      </c>
      <c r="Q67" s="2"/>
      <c r="R67" s="6">
        <f t="shared" si="40"/>
        <v>0.11780880351779768</v>
      </c>
      <c r="S67" s="2"/>
      <c r="T67" s="7">
        <v>3769</v>
      </c>
      <c r="U67" s="2"/>
      <c r="V67" s="6">
        <f t="shared" si="41"/>
        <v>1.7973295183595611E-2</v>
      </c>
      <c r="W67" s="2"/>
      <c r="X67" s="7">
        <f t="shared" si="42"/>
        <v>3698.8599999999997</v>
      </c>
      <c r="Y67" s="2"/>
      <c r="Z67" s="6">
        <f t="shared" si="43"/>
        <v>0.98139028920137961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1980.63</v>
      </c>
      <c r="E68" s="2"/>
      <c r="F68" s="6">
        <f t="shared" si="36"/>
        <v>0.1550786186420374</v>
      </c>
      <c r="G68" s="2"/>
      <c r="H68" s="7">
        <v>1000</v>
      </c>
      <c r="I68" s="2"/>
      <c r="J68" s="6">
        <f t="shared" si="37"/>
        <v>6.4729108680173481E-2</v>
      </c>
      <c r="K68" s="2"/>
      <c r="L68" s="7">
        <f t="shared" si="38"/>
        <v>980.63000000000011</v>
      </c>
      <c r="M68" s="2"/>
      <c r="N68" s="6">
        <f t="shared" si="39"/>
        <v>0.98063000000000011</v>
      </c>
      <c r="O68" s="11"/>
      <c r="P68" s="7">
        <v>17157.05</v>
      </c>
      <c r="Q68" s="2"/>
      <c r="R68" s="6">
        <f t="shared" si="40"/>
        <v>0.27066007295196093</v>
      </c>
      <c r="S68" s="2"/>
      <c r="T68" s="7">
        <v>19294</v>
      </c>
      <c r="U68" s="2"/>
      <c r="V68" s="6">
        <f t="shared" si="41"/>
        <v>9.2007629947544106E-2</v>
      </c>
      <c r="W68" s="2"/>
      <c r="X68" s="7">
        <f t="shared" si="42"/>
        <v>-2136.9500000000007</v>
      </c>
      <c r="Y68" s="2"/>
      <c r="Z68" s="6">
        <f t="shared" si="43"/>
        <v>-0.11075723022701361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SUM(OSRRefD22_12x_0)</f>
        <v>5425.42</v>
      </c>
      <c r="E69" s="1"/>
      <c r="F69" s="5">
        <f t="shared" ref="F69:F74" si="44">IF(D$12=0,0,D69/D$12)</f>
        <v>0.42479748320124527</v>
      </c>
      <c r="G69" s="1"/>
      <c r="H69" s="1">
        <f>SUM(OSRRefH22_12x_0)</f>
        <v>3802</v>
      </c>
      <c r="I69" s="1"/>
      <c r="J69" s="5">
        <f t="shared" ref="J69:J74" si="45">IF(H$12=0,0,H69/H$12)</f>
        <v>0.24610007120201954</v>
      </c>
      <c r="K69" s="1"/>
      <c r="L69" s="1">
        <f t="shared" ref="L69:L74" si="46">+D69-H69</f>
        <v>1623.42</v>
      </c>
      <c r="M69" s="1"/>
      <c r="N69" s="5">
        <f t="shared" ref="N69:N74" si="47">IF(H69=0,0,L69/H69)</f>
        <v>0.42699105733824305</v>
      </c>
      <c r="O69" s="13"/>
      <c r="P69" s="1">
        <f>SUM(OSRRefP22_12x_0)</f>
        <v>26644.850000000002</v>
      </c>
      <c r="Q69" s="1"/>
      <c r="R69" s="5">
        <f t="shared" ref="R69:R74" si="48">IF(P$12=0,0,P69/P$12)</f>
        <v>0.42033432581906893</v>
      </c>
      <c r="S69" s="1"/>
      <c r="T69" s="1">
        <f>SUM(OSRRefT22_12x_0)</f>
        <v>43133</v>
      </c>
      <c r="U69" s="1"/>
      <c r="V69" s="5">
        <f t="shared" ref="V69:V74" si="49">IF(T$12=0,0,T69/T$12)</f>
        <v>0.20568907963757749</v>
      </c>
      <c r="W69" s="1"/>
      <c r="X69" s="1">
        <f t="shared" ref="X69:X74" si="50">+P69-T69</f>
        <v>-16488.149999999998</v>
      </c>
      <c r="Y69" s="1"/>
      <c r="Z69" s="5">
        <f t="shared" ref="Z69:Z74" si="51">IF(T69=0,0,X69/T69)</f>
        <v>-0.38226300048686618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1039.9000000000001</v>
      </c>
      <c r="E70" s="2"/>
      <c r="F70" s="6">
        <f t="shared" si="44"/>
        <v>8.1421696897378451E-2</v>
      </c>
      <c r="G70" s="2"/>
      <c r="H70" s="7"/>
      <c r="I70" s="2"/>
      <c r="J70" s="6">
        <f t="shared" si="45"/>
        <v>0</v>
      </c>
      <c r="K70" s="2"/>
      <c r="L70" s="7">
        <f t="shared" si="46"/>
        <v>1039.9000000000001</v>
      </c>
      <c r="M70" s="2"/>
      <c r="N70" s="6">
        <f t="shared" si="47"/>
        <v>0</v>
      </c>
      <c r="O70" s="11"/>
      <c r="P70" s="7">
        <v>4148.63</v>
      </c>
      <c r="Q70" s="2"/>
      <c r="R70" s="6">
        <f t="shared" si="48"/>
        <v>6.5446478179564296E-2</v>
      </c>
      <c r="S70" s="2"/>
      <c r="T70" s="7">
        <v>3288</v>
      </c>
      <c r="U70" s="2"/>
      <c r="V70" s="6">
        <f t="shared" si="49"/>
        <v>1.5679542203147354E-2</v>
      </c>
      <c r="W70" s="2"/>
      <c r="X70" s="7">
        <f t="shared" si="50"/>
        <v>860.63000000000011</v>
      </c>
      <c r="Y70" s="2"/>
      <c r="Z70" s="6">
        <f t="shared" si="51"/>
        <v>0.26174878345498787</v>
      </c>
    </row>
    <row r="71" spans="1:26" s="24" customFormat="1" hidden="1" outlineLevel="2" x14ac:dyDescent="0.25">
      <c r="A71" s="26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310</v>
      </c>
      <c r="U71" s="2"/>
      <c r="V71" s="6">
        <f t="shared" si="49"/>
        <v>1.4783023366714354E-3</v>
      </c>
      <c r="W71" s="2"/>
      <c r="X71" s="7">
        <f t="shared" si="50"/>
        <v>-310</v>
      </c>
      <c r="Y71" s="2"/>
      <c r="Z71" s="6">
        <f t="shared" si="51"/>
        <v>-1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7">
        <v>1000</v>
      </c>
      <c r="E72" s="2"/>
      <c r="F72" s="6">
        <f t="shared" si="44"/>
        <v>7.8297621788035815E-2</v>
      </c>
      <c r="G72" s="2"/>
      <c r="H72" s="7">
        <v>761</v>
      </c>
      <c r="I72" s="2"/>
      <c r="J72" s="6">
        <f t="shared" si="45"/>
        <v>4.9258851705612013E-2</v>
      </c>
      <c r="K72" s="2"/>
      <c r="L72" s="7">
        <f t="shared" si="46"/>
        <v>239</v>
      </c>
      <c r="M72" s="2"/>
      <c r="N72" s="6">
        <f t="shared" si="47"/>
        <v>0.31406044678055189</v>
      </c>
      <c r="O72" s="11"/>
      <c r="P72" s="7">
        <v>4063</v>
      </c>
      <c r="Q72" s="2"/>
      <c r="R72" s="6">
        <f t="shared" si="48"/>
        <v>6.4095626952408322E-2</v>
      </c>
      <c r="S72" s="2"/>
      <c r="T72" s="7">
        <v>7602</v>
      </c>
      <c r="U72" s="2"/>
      <c r="V72" s="6">
        <f t="shared" si="49"/>
        <v>3.6251788268955649E-2</v>
      </c>
      <c r="W72" s="2"/>
      <c r="X72" s="7">
        <f t="shared" si="50"/>
        <v>-3539</v>
      </c>
      <c r="Y72" s="2"/>
      <c r="Z72" s="6">
        <f t="shared" si="51"/>
        <v>-0.4655353854248882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3385.52</v>
      </c>
      <c r="E73" s="2"/>
      <c r="F73" s="6">
        <f t="shared" si="44"/>
        <v>0.26507816451583099</v>
      </c>
      <c r="G73" s="2"/>
      <c r="H73" s="7">
        <v>3041</v>
      </c>
      <c r="I73" s="2"/>
      <c r="J73" s="6">
        <f t="shared" si="45"/>
        <v>0.19684121949640754</v>
      </c>
      <c r="K73" s="2"/>
      <c r="L73" s="7">
        <f t="shared" si="46"/>
        <v>344.52</v>
      </c>
      <c r="M73" s="2"/>
      <c r="N73" s="6">
        <f t="shared" si="47"/>
        <v>0.1132916803682999</v>
      </c>
      <c r="O73" s="11"/>
      <c r="P73" s="7">
        <v>17849.09</v>
      </c>
      <c r="Q73" s="2"/>
      <c r="R73" s="6">
        <f t="shared" si="48"/>
        <v>0.28157731087372923</v>
      </c>
      <c r="S73" s="2"/>
      <c r="T73" s="7">
        <v>31933</v>
      </c>
      <c r="U73" s="2"/>
      <c r="V73" s="6">
        <f t="shared" si="49"/>
        <v>0.15227944682880304</v>
      </c>
      <c r="W73" s="2"/>
      <c r="X73" s="7">
        <f t="shared" si="50"/>
        <v>-14083.91</v>
      </c>
      <c r="Y73" s="2"/>
      <c r="Z73" s="6">
        <f t="shared" si="51"/>
        <v>-0.44104562678107284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584.13</v>
      </c>
      <c r="Q74" s="2"/>
      <c r="R74" s="6">
        <f t="shared" si="48"/>
        <v>9.2149098133670372E-3</v>
      </c>
      <c r="S74" s="2"/>
      <c r="T74" s="7"/>
      <c r="U74" s="2"/>
      <c r="V74" s="6">
        <f t="shared" si="49"/>
        <v>0</v>
      </c>
      <c r="W74" s="2"/>
      <c r="X74" s="7">
        <f t="shared" si="50"/>
        <v>584.13</v>
      </c>
      <c r="Y74" s="2"/>
      <c r="Z74" s="6">
        <f t="shared" si="51"/>
        <v>0</v>
      </c>
    </row>
    <row r="75" spans="1:26" s="25" customFormat="1" outlineLevel="1" collapsed="1" x14ac:dyDescent="0.25">
      <c r="A75" s="27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0</v>
      </c>
      <c r="E75" s="1"/>
      <c r="F75" s="5">
        <f t="shared" ref="F75:F85" si="52">IF(D$12=0,0,D75/D$12)</f>
        <v>0</v>
      </c>
      <c r="G75" s="1"/>
      <c r="H75" s="1">
        <f>SUM(OSRRefH22_13x_0)</f>
        <v>200</v>
      </c>
      <c r="I75" s="1"/>
      <c r="J75" s="5">
        <f t="shared" ref="J75:J85" si="53">IF(H$12=0,0,H75/H$12)</f>
        <v>1.2945821736034695E-2</v>
      </c>
      <c r="K75" s="1"/>
      <c r="L75" s="1">
        <f t="shared" ref="L75:L85" si="54">+D75-H75</f>
        <v>-200</v>
      </c>
      <c r="M75" s="1"/>
      <c r="N75" s="5">
        <f t="shared" ref="N75:N85" si="55">IF(H75=0,0,L75/H75)</f>
        <v>-1</v>
      </c>
      <c r="O75" s="13"/>
      <c r="P75" s="1">
        <f>SUM(OSRRefP22_13x_0)</f>
        <v>797.01</v>
      </c>
      <c r="Q75" s="1"/>
      <c r="R75" s="5">
        <f t="shared" ref="R75:R85" si="56">IF(P$12=0,0,P75/P$12)</f>
        <v>1.2573186226270971E-2</v>
      </c>
      <c r="S75" s="1"/>
      <c r="T75" s="1">
        <f>SUM(OSRRefT22_13x_0)</f>
        <v>1981</v>
      </c>
      <c r="U75" s="1"/>
      <c r="V75" s="5">
        <f t="shared" ref="V75:V85" si="57">IF(T$12=0,0,T75/T$12)</f>
        <v>9.4468288030519782E-3</v>
      </c>
      <c r="W75" s="1"/>
      <c r="X75" s="1">
        <f t="shared" ref="X75:X85" si="58">+P75-T75</f>
        <v>-1183.99</v>
      </c>
      <c r="Y75" s="1"/>
      <c r="Z75" s="5">
        <f t="shared" ref="Z75:Z85" si="59">IF(T75=0,0,X75/T75)</f>
        <v>-0.59767289247854616</v>
      </c>
    </row>
    <row r="76" spans="1:26" s="24" customFormat="1" hidden="1" outlineLevel="2" x14ac:dyDescent="0.25">
      <c r="A76" s="26"/>
      <c r="B76" s="11" t="str">
        <f>CONCATENATE("          ", "6275", " - ", "SUBSCRIPTIONS")</f>
        <v xml:space="preserve">          6275 - SUBSCRIPTIONS</v>
      </c>
      <c r="C76" s="11"/>
      <c r="D76" s="7"/>
      <c r="E76" s="2"/>
      <c r="F76" s="6">
        <f t="shared" si="52"/>
        <v>0</v>
      </c>
      <c r="G76" s="2"/>
      <c r="H76" s="7">
        <v>200</v>
      </c>
      <c r="I76" s="2"/>
      <c r="J76" s="6">
        <f t="shared" si="53"/>
        <v>1.2945821736034695E-2</v>
      </c>
      <c r="K76" s="2"/>
      <c r="L76" s="7">
        <f t="shared" si="54"/>
        <v>-200</v>
      </c>
      <c r="M76" s="2"/>
      <c r="N76" s="6">
        <f t="shared" si="55"/>
        <v>-1</v>
      </c>
      <c r="O76" s="11"/>
      <c r="P76" s="7">
        <v>797.01</v>
      </c>
      <c r="Q76" s="2"/>
      <c r="R76" s="6">
        <f t="shared" si="56"/>
        <v>1.2573186226270971E-2</v>
      </c>
      <c r="S76" s="2"/>
      <c r="T76" s="7">
        <v>1981</v>
      </c>
      <c r="U76" s="2"/>
      <c r="V76" s="6">
        <f t="shared" si="57"/>
        <v>9.4468288030519782E-3</v>
      </c>
      <c r="W76" s="2"/>
      <c r="X76" s="7">
        <f t="shared" si="58"/>
        <v>-1183.99</v>
      </c>
      <c r="Y76" s="2"/>
      <c r="Z76" s="6">
        <f t="shared" si="59"/>
        <v>-0.59767289247854616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621.09</v>
      </c>
      <c r="E77" s="1"/>
      <c r="F77" s="5">
        <f t="shared" si="52"/>
        <v>4.862986991633117E-2</v>
      </c>
      <c r="G77" s="1"/>
      <c r="H77" s="1">
        <f>SUM(OSRRefH22_14x_0)</f>
        <v>1350</v>
      </c>
      <c r="I77" s="1"/>
      <c r="J77" s="5">
        <f t="shared" si="53"/>
        <v>8.7384296718234195E-2</v>
      </c>
      <c r="K77" s="1"/>
      <c r="L77" s="1">
        <f t="shared" si="54"/>
        <v>-728.91</v>
      </c>
      <c r="M77" s="1"/>
      <c r="N77" s="5">
        <f t="shared" si="55"/>
        <v>-0.53993333333333327</v>
      </c>
      <c r="O77" s="13"/>
      <c r="P77" s="1">
        <f>SUM(OSRRefP22_14x_0)</f>
        <v>8373.02</v>
      </c>
      <c r="Q77" s="1"/>
      <c r="R77" s="5">
        <f t="shared" si="56"/>
        <v>0.13208810395891066</v>
      </c>
      <c r="S77" s="1"/>
      <c r="T77" s="1">
        <f>SUM(OSRRefT22_14x_0)</f>
        <v>22275</v>
      </c>
      <c r="U77" s="1"/>
      <c r="V77" s="5">
        <f t="shared" si="57"/>
        <v>0.10622317596566523</v>
      </c>
      <c r="W77" s="1"/>
      <c r="X77" s="1">
        <f t="shared" si="58"/>
        <v>-13901.98</v>
      </c>
      <c r="Y77" s="1"/>
      <c r="Z77" s="5">
        <f t="shared" si="59"/>
        <v>-0.62410684624017954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7">
        <v>26.25</v>
      </c>
      <c r="E78" s="2"/>
      <c r="F78" s="6">
        <f t="shared" si="52"/>
        <v>2.0553125719359401E-3</v>
      </c>
      <c r="G78" s="2"/>
      <c r="H78" s="7"/>
      <c r="I78" s="2"/>
      <c r="J78" s="6">
        <f t="shared" si="53"/>
        <v>0</v>
      </c>
      <c r="K78" s="2"/>
      <c r="L78" s="7">
        <f t="shared" si="54"/>
        <v>26.25</v>
      </c>
      <c r="M78" s="2"/>
      <c r="N78" s="6">
        <f t="shared" si="55"/>
        <v>0</v>
      </c>
      <c r="O78" s="11"/>
      <c r="P78" s="7">
        <v>337.16</v>
      </c>
      <c r="Q78" s="2"/>
      <c r="R78" s="6">
        <f t="shared" si="56"/>
        <v>5.3188485314481886E-3</v>
      </c>
      <c r="S78" s="2"/>
      <c r="T78" s="7">
        <v>1076</v>
      </c>
      <c r="U78" s="2"/>
      <c r="V78" s="6">
        <f t="shared" si="57"/>
        <v>5.1311397234144011E-3</v>
      </c>
      <c r="W78" s="2"/>
      <c r="X78" s="7">
        <f t="shared" si="58"/>
        <v>-738.83999999999992</v>
      </c>
      <c r="Y78" s="2"/>
      <c r="Z78" s="6">
        <f t="shared" si="59"/>
        <v>-0.68665427509293675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7">
        <v>65.45</v>
      </c>
      <c r="E79" s="2"/>
      <c r="F79" s="6">
        <f t="shared" si="52"/>
        <v>5.1245793460269447E-3</v>
      </c>
      <c r="G79" s="2"/>
      <c r="H79" s="7"/>
      <c r="I79" s="2"/>
      <c r="J79" s="6">
        <f t="shared" si="53"/>
        <v>0</v>
      </c>
      <c r="K79" s="2"/>
      <c r="L79" s="7">
        <f t="shared" si="54"/>
        <v>65.45</v>
      </c>
      <c r="M79" s="2"/>
      <c r="N79" s="6">
        <f t="shared" si="55"/>
        <v>0</v>
      </c>
      <c r="O79" s="11"/>
      <c r="P79" s="7">
        <v>6819.42</v>
      </c>
      <c r="Q79" s="2"/>
      <c r="R79" s="6">
        <f t="shared" si="56"/>
        <v>0.10757937493275717</v>
      </c>
      <c r="S79" s="2"/>
      <c r="T79" s="7"/>
      <c r="U79" s="2"/>
      <c r="V79" s="6">
        <f t="shared" si="57"/>
        <v>0</v>
      </c>
      <c r="W79" s="2"/>
      <c r="X79" s="7">
        <f t="shared" si="58"/>
        <v>6819.42</v>
      </c>
      <c r="Y79" s="2"/>
      <c r="Z79" s="6">
        <f t="shared" si="59"/>
        <v>0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52"/>
        <v>0</v>
      </c>
      <c r="G80" s="2"/>
      <c r="H80" s="7">
        <v>700</v>
      </c>
      <c r="I80" s="2"/>
      <c r="J80" s="6">
        <f t="shared" si="53"/>
        <v>4.5310376076121435E-2</v>
      </c>
      <c r="K80" s="2"/>
      <c r="L80" s="7">
        <f t="shared" si="54"/>
        <v>-700</v>
      </c>
      <c r="M80" s="2"/>
      <c r="N80" s="6">
        <f t="shared" si="55"/>
        <v>-1</v>
      </c>
      <c r="O80" s="11"/>
      <c r="P80" s="7">
        <v>286.91000000000003</v>
      </c>
      <c r="Q80" s="2"/>
      <c r="R80" s="6">
        <f t="shared" si="56"/>
        <v>4.5261324954259099E-3</v>
      </c>
      <c r="S80" s="2"/>
      <c r="T80" s="7">
        <v>9149</v>
      </c>
      <c r="U80" s="2"/>
      <c r="V80" s="6">
        <f t="shared" si="57"/>
        <v>4.362899380066762E-2</v>
      </c>
      <c r="W80" s="2"/>
      <c r="X80" s="7">
        <f t="shared" si="58"/>
        <v>-8862.09</v>
      </c>
      <c r="Y80" s="2"/>
      <c r="Z80" s="6">
        <f t="shared" si="59"/>
        <v>-0.96864028855612638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52"/>
        <v>0</v>
      </c>
      <c r="G81" s="2"/>
      <c r="H81" s="7">
        <v>50</v>
      </c>
      <c r="I81" s="2"/>
      <c r="J81" s="6">
        <f t="shared" si="53"/>
        <v>3.2364554340086737E-3</v>
      </c>
      <c r="K81" s="2"/>
      <c r="L81" s="7">
        <f t="shared" si="54"/>
        <v>-50</v>
      </c>
      <c r="M81" s="2"/>
      <c r="N81" s="6">
        <f t="shared" si="55"/>
        <v>-1</v>
      </c>
      <c r="O81" s="11"/>
      <c r="P81" s="7">
        <v>19.829999999999998</v>
      </c>
      <c r="Q81" s="2"/>
      <c r="R81" s="6">
        <f t="shared" si="56"/>
        <v>3.128270446631201E-4</v>
      </c>
      <c r="S81" s="2"/>
      <c r="T81" s="7">
        <v>443</v>
      </c>
      <c r="U81" s="2"/>
      <c r="V81" s="6">
        <f t="shared" si="57"/>
        <v>2.112541726275632E-3</v>
      </c>
      <c r="W81" s="2"/>
      <c r="X81" s="7">
        <f t="shared" si="58"/>
        <v>-423.17</v>
      </c>
      <c r="Y81" s="2"/>
      <c r="Z81" s="6">
        <f t="shared" si="59"/>
        <v>-0.95523702031602709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>
        <v>434.47</v>
      </c>
      <c r="E82" s="2"/>
      <c r="F82" s="6">
        <f t="shared" si="52"/>
        <v>3.4017967738247924E-2</v>
      </c>
      <c r="G82" s="2"/>
      <c r="H82" s="7">
        <v>100</v>
      </c>
      <c r="I82" s="2"/>
      <c r="J82" s="6">
        <f t="shared" si="53"/>
        <v>6.4729108680173474E-3</v>
      </c>
      <c r="K82" s="2"/>
      <c r="L82" s="7">
        <f t="shared" si="54"/>
        <v>334.47</v>
      </c>
      <c r="M82" s="2"/>
      <c r="N82" s="6">
        <f t="shared" si="55"/>
        <v>3.3447000000000005</v>
      </c>
      <c r="O82" s="11"/>
      <c r="P82" s="7">
        <v>654.37</v>
      </c>
      <c r="Q82" s="2"/>
      <c r="R82" s="6">
        <f t="shared" si="56"/>
        <v>1.0322976965012906E-2</v>
      </c>
      <c r="S82" s="2"/>
      <c r="T82" s="7">
        <v>5462</v>
      </c>
      <c r="U82" s="2"/>
      <c r="V82" s="6">
        <f t="shared" si="57"/>
        <v>2.6046733428707676E-2</v>
      </c>
      <c r="W82" s="2"/>
      <c r="X82" s="7">
        <f t="shared" si="58"/>
        <v>-4807.63</v>
      </c>
      <c r="Y82" s="2"/>
      <c r="Z82" s="6">
        <f t="shared" si="59"/>
        <v>-0.88019589893811789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>
        <v>94.92</v>
      </c>
      <c r="E83" s="2"/>
      <c r="F83" s="6">
        <f t="shared" si="52"/>
        <v>7.4320102601203603E-3</v>
      </c>
      <c r="G83" s="2"/>
      <c r="H83" s="7">
        <v>500</v>
      </c>
      <c r="I83" s="2"/>
      <c r="J83" s="6">
        <f t="shared" si="53"/>
        <v>3.236455434008674E-2</v>
      </c>
      <c r="K83" s="2"/>
      <c r="L83" s="7">
        <f t="shared" si="54"/>
        <v>-405.08</v>
      </c>
      <c r="M83" s="2"/>
      <c r="N83" s="6">
        <f t="shared" si="55"/>
        <v>-0.81015999999999999</v>
      </c>
      <c r="O83" s="11"/>
      <c r="P83" s="7">
        <v>255.33</v>
      </c>
      <c r="Q83" s="2"/>
      <c r="R83" s="6">
        <f t="shared" si="56"/>
        <v>4.0279439896033515E-3</v>
      </c>
      <c r="S83" s="2"/>
      <c r="T83" s="7">
        <v>5719</v>
      </c>
      <c r="U83" s="2"/>
      <c r="V83" s="6">
        <f t="shared" si="57"/>
        <v>2.7272293752980448E-2</v>
      </c>
      <c r="W83" s="2"/>
      <c r="X83" s="7">
        <f t="shared" si="58"/>
        <v>-5463.67</v>
      </c>
      <c r="Y83" s="2"/>
      <c r="Z83" s="6">
        <f t="shared" si="59"/>
        <v>-0.95535408288162271</v>
      </c>
    </row>
    <row r="84" spans="1:26" s="24" customFormat="1" hidden="1" outlineLevel="2" x14ac:dyDescent="0.25">
      <c r="A84" s="26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2"/>
        <v>0</v>
      </c>
      <c r="G84" s="2"/>
      <c r="H84" s="7"/>
      <c r="I84" s="2"/>
      <c r="J84" s="6">
        <f t="shared" si="53"/>
        <v>0</v>
      </c>
      <c r="K84" s="2"/>
      <c r="L84" s="7">
        <f t="shared" si="54"/>
        <v>0</v>
      </c>
      <c r="M84" s="2"/>
      <c r="N84" s="6">
        <f t="shared" si="55"/>
        <v>0</v>
      </c>
      <c r="O84" s="11"/>
      <c r="P84" s="7"/>
      <c r="Q84" s="2"/>
      <c r="R84" s="6">
        <f t="shared" si="56"/>
        <v>0</v>
      </c>
      <c r="S84" s="2"/>
      <c r="T84" s="7">
        <v>411</v>
      </c>
      <c r="U84" s="2"/>
      <c r="V84" s="6">
        <f t="shared" si="57"/>
        <v>1.9599427753934193E-3</v>
      </c>
      <c r="W84" s="2"/>
      <c r="X84" s="7">
        <f t="shared" si="58"/>
        <v>-411</v>
      </c>
      <c r="Y84" s="2"/>
      <c r="Z84" s="6">
        <f t="shared" si="59"/>
        <v>-1</v>
      </c>
    </row>
    <row r="85" spans="1:26" s="24" customFormat="1" hidden="1" outlineLevel="2" x14ac:dyDescent="0.25">
      <c r="A85" s="26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2"/>
        <v>0</v>
      </c>
      <c r="G85" s="2"/>
      <c r="H85" s="7"/>
      <c r="I85" s="2"/>
      <c r="J85" s="6">
        <f t="shared" si="53"/>
        <v>0</v>
      </c>
      <c r="K85" s="2"/>
      <c r="L85" s="7">
        <f t="shared" si="54"/>
        <v>0</v>
      </c>
      <c r="M85" s="2"/>
      <c r="N85" s="6">
        <f t="shared" si="55"/>
        <v>0</v>
      </c>
      <c r="O85" s="11"/>
      <c r="P85" s="7"/>
      <c r="Q85" s="2"/>
      <c r="R85" s="6">
        <f t="shared" si="56"/>
        <v>0</v>
      </c>
      <c r="S85" s="2"/>
      <c r="T85" s="7">
        <v>15</v>
      </c>
      <c r="U85" s="2"/>
      <c r="V85" s="6">
        <f t="shared" si="57"/>
        <v>7.1530758226037201E-5</v>
      </c>
      <c r="W85" s="2"/>
      <c r="X85" s="7">
        <f t="shared" si="58"/>
        <v>-15</v>
      </c>
      <c r="Y85" s="2"/>
      <c r="Z85" s="6">
        <f t="shared" si="59"/>
        <v>-1</v>
      </c>
    </row>
    <row r="86" spans="1:26" s="25" customFormat="1" outlineLevel="1" collapsed="1" x14ac:dyDescent="0.25">
      <c r="A86" s="27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SUM(OSRRefD22_15x_0)</f>
        <v>232</v>
      </c>
      <c r="E86" s="1"/>
      <c r="F86" s="5">
        <f t="shared" ref="F86:F88" si="60">IF(D$12=0,0,D86/D$12)</f>
        <v>1.8165048254824311E-2</v>
      </c>
      <c r="G86" s="1"/>
      <c r="H86" s="1">
        <f>SUM(OSRRefH22_15x_0)</f>
        <v>285</v>
      </c>
      <c r="I86" s="1"/>
      <c r="J86" s="5">
        <f t="shared" ref="J86:J88" si="61">IF(H$12=0,0,H86/H$12)</f>
        <v>1.8447795973849442E-2</v>
      </c>
      <c r="K86" s="1"/>
      <c r="L86" s="1">
        <f t="shared" ref="L86:L88" si="62">+D86-H86</f>
        <v>-53</v>
      </c>
      <c r="M86" s="1"/>
      <c r="N86" s="5">
        <f t="shared" ref="N86:N88" si="63">IF(H86=0,0,L86/H86)</f>
        <v>-0.18596491228070175</v>
      </c>
      <c r="O86" s="13"/>
      <c r="P86" s="1">
        <f>SUM(OSRRefP22_15x_0)</f>
        <v>1923</v>
      </c>
      <c r="Q86" s="1"/>
      <c r="R86" s="5">
        <f t="shared" ref="R86:R88" si="64">IF(P$12=0,0,P86/P$12)</f>
        <v>3.0336177856136157E-2</v>
      </c>
      <c r="S86" s="1"/>
      <c r="T86" s="1">
        <f>SUM(OSRRefT22_15x_0)</f>
        <v>1992</v>
      </c>
      <c r="U86" s="1"/>
      <c r="V86" s="5">
        <f t="shared" ref="V86:V88" si="65">IF(T$12=0,0,T86/T$12)</f>
        <v>9.4992846924177397E-3</v>
      </c>
      <c r="W86" s="1"/>
      <c r="X86" s="1">
        <f t="shared" ref="X86:X88" si="66">+P86-T86</f>
        <v>-69</v>
      </c>
      <c r="Y86" s="1"/>
      <c r="Z86" s="5">
        <f t="shared" ref="Z86:Z88" si="67">IF(T86=0,0,X86/T86)</f>
        <v>-3.463855421686747E-2</v>
      </c>
    </row>
    <row r="87" spans="1:26" s="24" customFormat="1" hidden="1" outlineLevel="2" x14ac:dyDescent="0.25">
      <c r="A87" s="26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60"/>
        <v>0</v>
      </c>
      <c r="G87" s="2"/>
      <c r="H87" s="7">
        <v>135</v>
      </c>
      <c r="I87" s="2"/>
      <c r="J87" s="6">
        <f t="shared" si="61"/>
        <v>8.7384296718234188E-3</v>
      </c>
      <c r="K87" s="2"/>
      <c r="L87" s="7">
        <f t="shared" si="62"/>
        <v>-135</v>
      </c>
      <c r="M87" s="2"/>
      <c r="N87" s="6">
        <f t="shared" si="63"/>
        <v>-1</v>
      </c>
      <c r="O87" s="11"/>
      <c r="P87" s="7"/>
      <c r="Q87" s="2"/>
      <c r="R87" s="6">
        <f t="shared" si="64"/>
        <v>0</v>
      </c>
      <c r="S87" s="2"/>
      <c r="T87" s="7">
        <v>1392</v>
      </c>
      <c r="U87" s="2"/>
      <c r="V87" s="6">
        <f t="shared" si="65"/>
        <v>6.6380543633762518E-3</v>
      </c>
      <c r="W87" s="2"/>
      <c r="X87" s="7">
        <f t="shared" si="66"/>
        <v>-1392</v>
      </c>
      <c r="Y87" s="2"/>
      <c r="Z87" s="6">
        <f t="shared" si="67"/>
        <v>-1</v>
      </c>
    </row>
    <row r="88" spans="1:26" s="24" customFormat="1" hidden="1" outlineLevel="2" x14ac:dyDescent="0.25">
      <c r="A88" s="26"/>
      <c r="B88" s="11" t="str">
        <f>CONCATENATE("          ", "6309", " - ", "TELEPHONE")</f>
        <v xml:space="preserve">          6309 - TELEPHONE</v>
      </c>
      <c r="C88" s="11"/>
      <c r="D88" s="7">
        <v>232</v>
      </c>
      <c r="E88" s="2"/>
      <c r="F88" s="6">
        <f t="shared" si="60"/>
        <v>1.8165048254824311E-2</v>
      </c>
      <c r="G88" s="2"/>
      <c r="H88" s="7">
        <v>150</v>
      </c>
      <c r="I88" s="2"/>
      <c r="J88" s="6">
        <f t="shared" si="61"/>
        <v>9.709366302026021E-3</v>
      </c>
      <c r="K88" s="2"/>
      <c r="L88" s="7">
        <f t="shared" si="62"/>
        <v>82</v>
      </c>
      <c r="M88" s="2"/>
      <c r="N88" s="6">
        <f t="shared" si="63"/>
        <v>0.54666666666666663</v>
      </c>
      <c r="O88" s="11"/>
      <c r="P88" s="7">
        <v>1923</v>
      </c>
      <c r="Q88" s="2"/>
      <c r="R88" s="6">
        <f t="shared" si="64"/>
        <v>3.0336177856136157E-2</v>
      </c>
      <c r="S88" s="2"/>
      <c r="T88" s="7">
        <v>600</v>
      </c>
      <c r="U88" s="2"/>
      <c r="V88" s="6">
        <f t="shared" si="65"/>
        <v>2.8612303290414878E-3</v>
      </c>
      <c r="W88" s="2"/>
      <c r="X88" s="7">
        <f t="shared" si="66"/>
        <v>1323</v>
      </c>
      <c r="Y88" s="2"/>
      <c r="Z88" s="6">
        <f t="shared" si="67"/>
        <v>2.2050000000000001</v>
      </c>
    </row>
    <row r="89" spans="1:26" s="25" customFormat="1" outlineLevel="1" collapsed="1" x14ac:dyDescent="0.25">
      <c r="A89" s="27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0</v>
      </c>
      <c r="E89" s="1"/>
      <c r="F89" s="5">
        <f t="shared" ref="F89:F93" si="68">IF(D$12=0,0,D89/D$12)</f>
        <v>0</v>
      </c>
      <c r="G89" s="1"/>
      <c r="H89" s="1">
        <f>SUM(OSRRefH22_16x_0)</f>
        <v>0</v>
      </c>
      <c r="I89" s="1"/>
      <c r="J89" s="5">
        <f t="shared" ref="J89:J93" si="69">IF(H$12=0,0,H89/H$12)</f>
        <v>0</v>
      </c>
      <c r="K89" s="1"/>
      <c r="L89" s="1">
        <f t="shared" ref="L89:L93" si="70">+D89-H89</f>
        <v>0</v>
      </c>
      <c r="M89" s="1"/>
      <c r="N89" s="5">
        <f t="shared" ref="N89:N93" si="71">IF(H89=0,0,L89/H89)</f>
        <v>0</v>
      </c>
      <c r="O89" s="13"/>
      <c r="P89" s="1">
        <f>SUM(OSRRefP22_16x_0)</f>
        <v>400</v>
      </c>
      <c r="Q89" s="1"/>
      <c r="R89" s="5">
        <f t="shared" ref="R89:R93" si="72">IF(P$12=0,0,P89/P$12)</f>
        <v>6.3101774011723672E-3</v>
      </c>
      <c r="S89" s="1"/>
      <c r="T89" s="1">
        <f>SUM(OSRRefT22_16x_0)</f>
        <v>0</v>
      </c>
      <c r="U89" s="1"/>
      <c r="V89" s="5">
        <f t="shared" ref="V89:V93" si="73">IF(T$12=0,0,T89/T$12)</f>
        <v>0</v>
      </c>
      <c r="W89" s="1"/>
      <c r="X89" s="1">
        <f t="shared" ref="X89:X93" si="74">+P89-T89</f>
        <v>400</v>
      </c>
      <c r="Y89" s="1"/>
      <c r="Z89" s="5">
        <f t="shared" ref="Z89:Z93" si="75">IF(T89=0,0,X89/T89)</f>
        <v>0</v>
      </c>
    </row>
    <row r="90" spans="1:26" s="24" customFormat="1" hidden="1" outlineLevel="2" x14ac:dyDescent="0.25">
      <c r="A90" s="26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8"/>
        <v>0</v>
      </c>
      <c r="G90" s="2"/>
      <c r="H90" s="7"/>
      <c r="I90" s="2"/>
      <c r="J90" s="6">
        <f t="shared" si="69"/>
        <v>0</v>
      </c>
      <c r="K90" s="2"/>
      <c r="L90" s="7">
        <f t="shared" si="70"/>
        <v>0</v>
      </c>
      <c r="M90" s="2"/>
      <c r="N90" s="6">
        <f t="shared" si="71"/>
        <v>0</v>
      </c>
      <c r="O90" s="11"/>
      <c r="P90" s="7">
        <v>400</v>
      </c>
      <c r="Q90" s="2"/>
      <c r="R90" s="6">
        <f t="shared" si="72"/>
        <v>6.3101774011723672E-3</v>
      </c>
      <c r="S90" s="2"/>
      <c r="T90" s="7"/>
      <c r="U90" s="2"/>
      <c r="V90" s="6">
        <f t="shared" si="73"/>
        <v>0</v>
      </c>
      <c r="W90" s="2"/>
      <c r="X90" s="7">
        <f t="shared" si="74"/>
        <v>400</v>
      </c>
      <c r="Y90" s="2"/>
      <c r="Z90" s="6">
        <f t="shared" si="75"/>
        <v>0</v>
      </c>
    </row>
    <row r="91" spans="1:26" s="25" customFormat="1" outlineLevel="1" collapsed="1" x14ac:dyDescent="0.25">
      <c r="A91" s="27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SUM(OSRRefP22_17x_0)</f>
        <v>0</v>
      </c>
      <c r="Q91" s="1"/>
      <c r="R91" s="5">
        <f t="shared" si="72"/>
        <v>0</v>
      </c>
      <c r="S91" s="1"/>
      <c r="T91" s="1">
        <f>SUM(OSRRefT22_17x_0)</f>
        <v>0</v>
      </c>
      <c r="U91" s="1"/>
      <c r="V91" s="5">
        <f t="shared" si="73"/>
        <v>0</v>
      </c>
      <c r="W91" s="1"/>
      <c r="X91" s="1">
        <f t="shared" si="74"/>
        <v>0</v>
      </c>
      <c r="Y91" s="1"/>
      <c r="Z91" s="5">
        <f t="shared" si="75"/>
        <v>0</v>
      </c>
    </row>
    <row r="92" spans="1:26" s="24" customFormat="1" hidden="1" outlineLevel="2" x14ac:dyDescent="0.25">
      <c r="A92" s="26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8"/>
        <v>0</v>
      </c>
      <c r="G92" s="2"/>
      <c r="H92" s="7"/>
      <c r="I92" s="2"/>
      <c r="J92" s="6">
        <f t="shared" si="69"/>
        <v>0</v>
      </c>
      <c r="K92" s="2"/>
      <c r="L92" s="7">
        <f t="shared" si="70"/>
        <v>0</v>
      </c>
      <c r="M92" s="2"/>
      <c r="N92" s="6">
        <f t="shared" si="71"/>
        <v>0</v>
      </c>
      <c r="O92" s="11"/>
      <c r="P92" s="7"/>
      <c r="Q92" s="2"/>
      <c r="R92" s="6">
        <f t="shared" si="72"/>
        <v>0</v>
      </c>
      <c r="S92" s="2"/>
      <c r="T92" s="7">
        <v>0</v>
      </c>
      <c r="U92" s="2"/>
      <c r="V92" s="6">
        <f t="shared" si="73"/>
        <v>0</v>
      </c>
      <c r="W92" s="2"/>
      <c r="X92" s="7">
        <f t="shared" si="74"/>
        <v>0</v>
      </c>
      <c r="Y92" s="2"/>
      <c r="Z92" s="6">
        <f t="shared" si="75"/>
        <v>0</v>
      </c>
    </row>
    <row r="93" spans="1:26" s="24" customFormat="1" hidden="1" outlineLevel="2" x14ac:dyDescent="0.25">
      <c r="A93" s="26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68"/>
        <v>0</v>
      </c>
      <c r="G93" s="2"/>
      <c r="H93" s="7"/>
      <c r="I93" s="2"/>
      <c r="J93" s="6">
        <f t="shared" si="69"/>
        <v>0</v>
      </c>
      <c r="K93" s="2"/>
      <c r="L93" s="7">
        <f t="shared" si="70"/>
        <v>0</v>
      </c>
      <c r="M93" s="2"/>
      <c r="N93" s="6">
        <f t="shared" si="71"/>
        <v>0</v>
      </c>
      <c r="O93" s="11"/>
      <c r="P93" s="7"/>
      <c r="Q93" s="2"/>
      <c r="R93" s="6">
        <f t="shared" si="72"/>
        <v>0</v>
      </c>
      <c r="S93" s="2"/>
      <c r="T93" s="7">
        <v>0</v>
      </c>
      <c r="U93" s="2"/>
      <c r="V93" s="6">
        <f t="shared" si="73"/>
        <v>0</v>
      </c>
      <c r="W93" s="2"/>
      <c r="X93" s="7">
        <f t="shared" si="74"/>
        <v>0</v>
      </c>
      <c r="Y93" s="2"/>
      <c r="Z93" s="6">
        <f t="shared" si="75"/>
        <v>0</v>
      </c>
    </row>
    <row r="94" spans="1:26" s="25" customFormat="1" outlineLevel="1" collapsed="1" x14ac:dyDescent="0.25">
      <c r="A94" s="27"/>
      <c r="B94" s="13" t="str">
        <f>CONCATENATE("     ","Utilities                                         ")</f>
        <v xml:space="preserve">     Utilities                                         </v>
      </c>
      <c r="C94" s="13"/>
      <c r="D94" s="1">
        <f>SUM(OSRRefD22_18x_0)</f>
        <v>2300</v>
      </c>
      <c r="E94" s="1"/>
      <c r="F94" s="5">
        <f t="shared" ref="F94:F95" si="76">IF(D$12=0,0,D94/D$12)</f>
        <v>0.18008453011248238</v>
      </c>
      <c r="G94" s="1"/>
      <c r="H94" s="1">
        <f>SUM(OSRRefH22_18x_0)</f>
        <v>2300</v>
      </c>
      <c r="I94" s="1"/>
      <c r="J94" s="5">
        <f t="shared" ref="J94:J95" si="77">IF(H$12=0,0,H94/H$12)</f>
        <v>0.14887694996439899</v>
      </c>
      <c r="K94" s="1"/>
      <c r="L94" s="1">
        <f t="shared" ref="L94:L95" si="78">+D94-H94</f>
        <v>0</v>
      </c>
      <c r="M94" s="1"/>
      <c r="N94" s="5">
        <f t="shared" ref="N94:N95" si="79">IF(H94=0,0,L94/H94)</f>
        <v>0</v>
      </c>
      <c r="O94" s="13"/>
      <c r="P94" s="1">
        <f>SUM(OSRRefP22_18x_0)</f>
        <v>10625</v>
      </c>
      <c r="Q94" s="1"/>
      <c r="R94" s="5">
        <f t="shared" ref="R94:R95" si="80">IF(P$12=0,0,P94/P$12)</f>
        <v>0.16761408721864102</v>
      </c>
      <c r="S94" s="1"/>
      <c r="T94" s="1">
        <f>SUM(OSRRefT22_18x_0)</f>
        <v>23000</v>
      </c>
      <c r="U94" s="1"/>
      <c r="V94" s="5">
        <f t="shared" ref="V94:V95" si="81">IF(T$12=0,0,T94/T$12)</f>
        <v>0.10968049594659036</v>
      </c>
      <c r="W94" s="1"/>
      <c r="X94" s="1">
        <f t="shared" ref="X94:X95" si="82">+P94-T94</f>
        <v>-12375</v>
      </c>
      <c r="Y94" s="1"/>
      <c r="Z94" s="5">
        <f t="shared" ref="Z94:Z95" si="83">IF(T94=0,0,X94/T94)</f>
        <v>-0.53804347826086951</v>
      </c>
    </row>
    <row r="95" spans="1:26" s="24" customFormat="1" hidden="1" outlineLevel="2" x14ac:dyDescent="0.25">
      <c r="A95" s="26"/>
      <c r="B95" s="11" t="str">
        <f>CONCATENATE("          ", "6274", " - ", "UTILITIES")</f>
        <v xml:space="preserve">          6274 - UTILITIES</v>
      </c>
      <c r="C95" s="11"/>
      <c r="D95" s="7">
        <v>2300</v>
      </c>
      <c r="E95" s="2"/>
      <c r="F95" s="6">
        <f t="shared" si="76"/>
        <v>0.18008453011248238</v>
      </c>
      <c r="G95" s="2"/>
      <c r="H95" s="7">
        <v>2300</v>
      </c>
      <c r="I95" s="2"/>
      <c r="J95" s="6">
        <f t="shared" si="77"/>
        <v>0.14887694996439899</v>
      </c>
      <c r="K95" s="2"/>
      <c r="L95" s="7">
        <f t="shared" si="78"/>
        <v>0</v>
      </c>
      <c r="M95" s="2"/>
      <c r="N95" s="6">
        <f t="shared" si="79"/>
        <v>0</v>
      </c>
      <c r="O95" s="11"/>
      <c r="P95" s="7">
        <v>10625</v>
      </c>
      <c r="Q95" s="2"/>
      <c r="R95" s="6">
        <f t="shared" si="80"/>
        <v>0.16761408721864102</v>
      </c>
      <c r="S95" s="2"/>
      <c r="T95" s="7">
        <v>23000</v>
      </c>
      <c r="U95" s="2"/>
      <c r="V95" s="6">
        <f t="shared" si="81"/>
        <v>0.10968049594659036</v>
      </c>
      <c r="W95" s="2"/>
      <c r="X95" s="7">
        <f t="shared" si="82"/>
        <v>-12375</v>
      </c>
      <c r="Y95" s="2"/>
      <c r="Z95" s="6">
        <f t="shared" si="83"/>
        <v>-0.53804347826086951</v>
      </c>
    </row>
    <row r="96" spans="1:26" s="61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9" t="s">
        <v>293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8" t="s">
        <v>277</v>
      </c>
      <c r="C99" s="28"/>
      <c r="D99" s="21">
        <f>+D23-D25+D97</f>
        <v>-56344.04</v>
      </c>
      <c r="E99" s="14"/>
      <c r="F99" s="20">
        <f>IF(D$12=0,0,D99/D$12)</f>
        <v>-4.4116043339299615</v>
      </c>
      <c r="G99" s="14"/>
      <c r="H99" s="21">
        <f>+H23-H25+H97</f>
        <v>-49107.995906365381</v>
      </c>
      <c r="I99" s="14"/>
      <c r="J99" s="20">
        <f>IF(H$12=0,0,H99/H$12)</f>
        <v>-3.1787168040886389</v>
      </c>
      <c r="K99" s="16"/>
      <c r="L99" s="21">
        <f>+D99-H99</f>
        <v>-7236.0440936346204</v>
      </c>
      <c r="M99" s="16"/>
      <c r="N99" s="20">
        <f>IF(H99=0,0,L99/H99)</f>
        <v>0.14734961099678442</v>
      </c>
      <c r="O99" s="29"/>
      <c r="P99" s="21">
        <f>+P23-P25+P97</f>
        <v>-569285.25</v>
      </c>
      <c r="Q99" s="14"/>
      <c r="R99" s="20">
        <f>IF(P$12=0,0,P99/P$12)</f>
        <v>-8.9807272984269044</v>
      </c>
      <c r="S99" s="14"/>
      <c r="T99" s="21">
        <f>+T23-T25+T97</f>
        <v>-427206.68412939995</v>
      </c>
      <c r="U99" s="14"/>
      <c r="V99" s="20">
        <f>IF(T$12=0,0,T99/T$12)</f>
        <v>-2.0372278690004766</v>
      </c>
      <c r="W99" s="16"/>
      <c r="X99" s="21">
        <f>+P99-T99</f>
        <v>-142078.56587060005</v>
      </c>
      <c r="Y99" s="16"/>
      <c r="Z99" s="20">
        <f>IF(T99=0,0,X99/T99)</f>
        <v>0.33257570901574374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128</v>
      </c>
      <c r="C101" s="10"/>
      <c r="D101" s="4">
        <v>2829.45</v>
      </c>
      <c r="E101" s="4"/>
      <c r="F101" s="12">
        <f>IF(D$12=0,0,D101/D$12)</f>
        <v>0.22153920596815793</v>
      </c>
      <c r="G101" s="4"/>
      <c r="H101" s="4">
        <v>3635</v>
      </c>
      <c r="I101" s="4"/>
      <c r="J101" s="12">
        <f>IF(H$12=0,0,H101/H$12)</f>
        <v>0.23529031005243059</v>
      </c>
      <c r="K101" s="4"/>
      <c r="L101" s="4">
        <f>+D101-H101</f>
        <v>-805.55000000000018</v>
      </c>
      <c r="M101" s="4"/>
      <c r="N101" s="12">
        <f>IF(H101=0,0,L101/H101)</f>
        <v>-0.22160935350756539</v>
      </c>
      <c r="O101" s="10"/>
      <c r="P101" s="4">
        <v>13261.37</v>
      </c>
      <c r="Q101" s="4"/>
      <c r="R101" s="12">
        <f>IF(P$12=0,0,P101/P$12)</f>
        <v>0.20920399320646302</v>
      </c>
      <c r="S101" s="4"/>
      <c r="T101" s="4">
        <v>37987</v>
      </c>
      <c r="U101" s="4"/>
      <c r="V101" s="12">
        <f>IF(T$12=0,0,T101/T$12)</f>
        <v>0.18114926084883168</v>
      </c>
      <c r="W101" s="4"/>
      <c r="X101" s="4">
        <f>+P101-T101</f>
        <v>-24725.629999999997</v>
      </c>
      <c r="Y101" s="4"/>
      <c r="Z101" s="12">
        <f>IF(T101=0,0,X101/T101)</f>
        <v>-0.65089714902466622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126</v>
      </c>
      <c r="C103" s="28"/>
      <c r="D103" s="31">
        <f>+D99-D101</f>
        <v>-59173.49</v>
      </c>
      <c r="E103" s="14"/>
      <c r="F103" s="33">
        <f>IF(D$12=0,0,D103/D$12)</f>
        <v>-4.6331435398981196</v>
      </c>
      <c r="G103" s="14"/>
      <c r="H103" s="31">
        <f>+H99-H101</f>
        <v>-52742.995906365381</v>
      </c>
      <c r="I103" s="14"/>
      <c r="J103" s="33">
        <f>IF(H$12=0,0,H103/H$12)</f>
        <v>-3.4140071141410693</v>
      </c>
      <c r="K103" s="16"/>
      <c r="L103" s="31">
        <f>D103-H103</f>
        <v>-6430.4940936346175</v>
      </c>
      <c r="M103" s="16"/>
      <c r="N103" s="33">
        <f>IF(H103=0,0,L103/H103)</f>
        <v>0.12192128989128094</v>
      </c>
      <c r="O103" s="29"/>
      <c r="P103" s="31">
        <f>+P99-P101</f>
        <v>-582546.62</v>
      </c>
      <c r="Q103" s="14"/>
      <c r="R103" s="33">
        <f>IF(P$12=0,0,P103/P$12)</f>
        <v>-9.189931291633366</v>
      </c>
      <c r="S103" s="14"/>
      <c r="T103" s="31">
        <f>+T99-T101</f>
        <v>-465193.68412939995</v>
      </c>
      <c r="U103" s="14"/>
      <c r="V103" s="33">
        <f>IF(T$12=0,0,T103/T$12)</f>
        <v>-2.2183771298493085</v>
      </c>
      <c r="W103" s="16"/>
      <c r="X103" s="31">
        <f>P103-T103</f>
        <v>-117352.93587060005</v>
      </c>
      <c r="Y103" s="16"/>
      <c r="Z103" s="33">
        <f>IF(T103=0,0,X103/T103)</f>
        <v>0.25226682965445579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294</v>
      </c>
      <c r="C106" s="28"/>
      <c r="D106" s="34">
        <f>SUM(D103:D105)</f>
        <v>-59173.49</v>
      </c>
      <c r="E106" s="14"/>
      <c r="F106" s="35">
        <f>IF(D$12=0,0,D106/D$12)</f>
        <v>-4.6331435398981196</v>
      </c>
      <c r="G106" s="14"/>
      <c r="H106" s="34">
        <f>SUM(H103:H105)</f>
        <v>-52742.995906365381</v>
      </c>
      <c r="I106" s="14"/>
      <c r="J106" s="35">
        <f>IF(H$12=0,0,H106/H$12)</f>
        <v>-3.4140071141410693</v>
      </c>
      <c r="K106" s="16"/>
      <c r="L106" s="34">
        <f>+D106-H106</f>
        <v>-6430.4940936346175</v>
      </c>
      <c r="M106" s="16"/>
      <c r="N106" s="35">
        <f>IF(H106=0,0,L106/H106)</f>
        <v>0.12192128989128094</v>
      </c>
      <c r="O106" s="29"/>
      <c r="P106" s="34">
        <f>SUM(P103:P105)</f>
        <v>-582546.62</v>
      </c>
      <c r="Q106" s="14"/>
      <c r="R106" s="35">
        <f>IF(P$12=0,0,P106/P$12)</f>
        <v>-9.189931291633366</v>
      </c>
      <c r="S106" s="14"/>
      <c r="T106" s="34">
        <f>SUM(T103:T105)</f>
        <v>-465193.68412939995</v>
      </c>
      <c r="U106" s="14"/>
      <c r="V106" s="35">
        <f>IF(T$12=0,0,T106/T$12)</f>
        <v>-2.2183771298493085</v>
      </c>
      <c r="W106" s="16"/>
      <c r="X106" s="34">
        <f>+P106-T106</f>
        <v>-117352.93587060005</v>
      </c>
      <c r="Y106" s="16"/>
      <c r="Z106" s="35">
        <f>IF(T106=0,0,X106/T106)</f>
        <v>0.25226682965445579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62">
        <v>44330.0058283912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6" t="s">
        <v>56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5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-301.68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-301.68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-301.68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-301.68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0</v>
      </c>
      <c r="I20" s="14"/>
      <c r="J20" s="20">
        <f>IF(H$12=0,0,H20/H$12)</f>
        <v>0</v>
      </c>
      <c r="K20" s="16"/>
      <c r="L20" s="21">
        <f>+D20-H20</f>
        <v>0</v>
      </c>
      <c r="M20" s="16"/>
      <c r="N20" s="20">
        <f>IF(H20=0,0,L20/H20)</f>
        <v>0</v>
      </c>
      <c r="O20" s="29"/>
      <c r="P20" s="21">
        <f>P12-P16</f>
        <v>301.68</v>
      </c>
      <c r="Q20" s="14"/>
      <c r="R20" s="20">
        <f>IF(P$12=0,0,P20/P$12)</f>
        <v>0</v>
      </c>
      <c r="S20" s="14"/>
      <c r="T20" s="21">
        <f>T12-T16</f>
        <v>0</v>
      </c>
      <c r="U20" s="14"/>
      <c r="V20" s="20">
        <f>IF(T$12=0,0,T20/T$12)</f>
        <v>0</v>
      </c>
      <c r="W20" s="16"/>
      <c r="X20" s="21">
        <f>+P20-T20</f>
        <v>301.68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2">
        <f>SUM(OSRRefD22x_0)</f>
        <v>6745.17</v>
      </c>
      <c r="E22" s="22"/>
      <c r="F22" s="32">
        <f t="shared" ref="F22:F31" si="14">IF(D$12=0,0,D22/D$12)</f>
        <v>0</v>
      </c>
      <c r="G22" s="22"/>
      <c r="H22" s="22">
        <f>SUM(OSRRefH22x_0)</f>
        <v>6745</v>
      </c>
      <c r="I22" s="22"/>
      <c r="J22" s="32">
        <f t="shared" ref="J22:J31" si="15">IF(H$12=0,0,H22/H$12)</f>
        <v>0</v>
      </c>
      <c r="K22" s="4"/>
      <c r="L22" s="22">
        <f t="shared" ref="L22:L31" si="16">+D22-H22</f>
        <v>0.17000000000007276</v>
      </c>
      <c r="M22" s="4"/>
      <c r="N22" s="32">
        <f t="shared" ref="N22:N31" si="17">IF(H22=0,0,L22/H22)</f>
        <v>2.5203854707201298E-5</v>
      </c>
      <c r="O22" s="10"/>
      <c r="P22" s="22">
        <f>SUM(OSRRefP22x_0)</f>
        <v>81146.19</v>
      </c>
      <c r="Q22" s="22"/>
      <c r="R22" s="32">
        <f t="shared" ref="R22:R31" si="18">IF(P$12=0,0,P22/P$12)</f>
        <v>0</v>
      </c>
      <c r="S22" s="22"/>
      <c r="T22" s="22">
        <f>SUM(OSRRefT22x_0)</f>
        <v>70549</v>
      </c>
      <c r="U22" s="22"/>
      <c r="V22" s="32">
        <f t="shared" ref="V22:V31" si="19">IF(T$12=0,0,T22/T$12)</f>
        <v>0</v>
      </c>
      <c r="W22" s="4"/>
      <c r="X22" s="22">
        <f t="shared" ref="X22:X31" si="20">+P22-T22</f>
        <v>10597.190000000002</v>
      </c>
      <c r="Y22" s="4"/>
      <c r="Z22" s="32">
        <f t="shared" ref="Z22:Z31" si="21">IF(T22=0,0,X22/T22)</f>
        <v>0.15021035025301566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6086.32</v>
      </c>
      <c r="Y23" s="1"/>
      <c r="Z23" s="5">
        <f t="shared" si="21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237.51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237.51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>
        <v>4780.67</v>
      </c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4780.67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>
        <v>678.15</v>
      </c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678.15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248.21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248.21</v>
      </c>
      <c r="Y30" s="2"/>
      <c r="Z30" s="6">
        <f t="shared" si="21"/>
        <v>0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>
        <v>141.78</v>
      </c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141.78</v>
      </c>
      <c r="Y31" s="2"/>
      <c r="Z31" s="6">
        <f t="shared" si="21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2151.69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2151.69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2151.69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2151.69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6745.17</v>
      </c>
      <c r="E47" s="1"/>
      <c r="F47" s="5">
        <f t="shared" si="30"/>
        <v>0</v>
      </c>
      <c r="G47" s="1"/>
      <c r="H47" s="1">
        <f>SUM(OSRRefH22_4x_0)</f>
        <v>6745</v>
      </c>
      <c r="I47" s="1"/>
      <c r="J47" s="5">
        <f t="shared" si="31"/>
        <v>0</v>
      </c>
      <c r="K47" s="1"/>
      <c r="L47" s="1">
        <f t="shared" si="32"/>
        <v>0.17000000000007276</v>
      </c>
      <c r="M47" s="1"/>
      <c r="N47" s="5">
        <f t="shared" si="33"/>
        <v>2.5203854707201298E-5</v>
      </c>
      <c r="O47" s="13"/>
      <c r="P47" s="1">
        <f>SUM(OSRRefP22_4x_0)</f>
        <v>68748.850000000006</v>
      </c>
      <c r="Q47" s="1"/>
      <c r="R47" s="5">
        <f t="shared" si="34"/>
        <v>0</v>
      </c>
      <c r="S47" s="1"/>
      <c r="T47" s="1">
        <f>SUM(OSRRefT22_4x_0)</f>
        <v>68749</v>
      </c>
      <c r="U47" s="1"/>
      <c r="V47" s="5">
        <f t="shared" si="35"/>
        <v>0</v>
      </c>
      <c r="W47" s="1"/>
      <c r="X47" s="1">
        <f t="shared" si="36"/>
        <v>-0.14999999999417923</v>
      </c>
      <c r="Y47" s="1"/>
      <c r="Z47" s="5">
        <f t="shared" si="37"/>
        <v>-2.1818499177323194E-6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7">
        <v>6537.05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6537.05</v>
      </c>
      <c r="M48" s="2"/>
      <c r="N48" s="6">
        <f t="shared" si="33"/>
        <v>0</v>
      </c>
      <c r="O48" s="11"/>
      <c r="P48" s="7">
        <v>65370.5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65370.5</v>
      </c>
      <c r="Y48" s="2"/>
      <c r="Z48" s="6">
        <f t="shared" si="37"/>
        <v>0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208.12</v>
      </c>
      <c r="E49" s="2"/>
      <c r="F49" s="6">
        <f t="shared" si="30"/>
        <v>0</v>
      </c>
      <c r="G49" s="2"/>
      <c r="H49" s="7">
        <v>6745</v>
      </c>
      <c r="I49" s="2"/>
      <c r="J49" s="6">
        <f t="shared" si="31"/>
        <v>0</v>
      </c>
      <c r="K49" s="2"/>
      <c r="L49" s="7">
        <f t="shared" si="32"/>
        <v>-6536.88</v>
      </c>
      <c r="M49" s="2"/>
      <c r="N49" s="6">
        <f t="shared" si="33"/>
        <v>-0.96914455151964418</v>
      </c>
      <c r="O49" s="11"/>
      <c r="P49" s="7">
        <v>3378.35</v>
      </c>
      <c r="Q49" s="2"/>
      <c r="R49" s="6">
        <f t="shared" si="34"/>
        <v>0</v>
      </c>
      <c r="S49" s="2"/>
      <c r="T49" s="7">
        <v>68749</v>
      </c>
      <c r="U49" s="2"/>
      <c r="V49" s="6">
        <f t="shared" si="35"/>
        <v>0</v>
      </c>
      <c r="W49" s="2"/>
      <c r="X49" s="7">
        <f t="shared" si="36"/>
        <v>-65370.65</v>
      </c>
      <c r="Y49" s="2"/>
      <c r="Z49" s="6">
        <f t="shared" si="37"/>
        <v>-0.95085964886761987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59" si="38">IF(D$12=0,0,D50/D$12)</f>
        <v>0</v>
      </c>
      <c r="G50" s="1"/>
      <c r="H50" s="1">
        <f>SUM(OSRRefH22_5x_0)</f>
        <v>0</v>
      </c>
      <c r="I50" s="1"/>
      <c r="J50" s="5">
        <f t="shared" ref="J50:J59" si="39">IF(H$12=0,0,H50/H$12)</f>
        <v>0</v>
      </c>
      <c r="K50" s="1"/>
      <c r="L50" s="1">
        <f t="shared" ref="L50:L59" si="40">+D50-H50</f>
        <v>0</v>
      </c>
      <c r="M50" s="1"/>
      <c r="N50" s="5">
        <f t="shared" ref="N50:N59" si="41">IF(H50=0,0,L50/H50)</f>
        <v>0</v>
      </c>
      <c r="O50" s="13"/>
      <c r="P50" s="1">
        <f>SUM(OSRRefP22_5x_0)</f>
        <v>0</v>
      </c>
      <c r="Q50" s="1"/>
      <c r="R50" s="5">
        <f t="shared" ref="R50:R59" si="42">IF(P$12=0,0,P50/P$12)</f>
        <v>0</v>
      </c>
      <c r="S50" s="1"/>
      <c r="T50" s="1">
        <f>SUM(OSRRefT22_5x_0)</f>
        <v>0</v>
      </c>
      <c r="U50" s="1"/>
      <c r="V50" s="5">
        <f t="shared" ref="V50:V59" si="43">IF(T$12=0,0,T50/T$12)</f>
        <v>0</v>
      </c>
      <c r="W50" s="1"/>
      <c r="X50" s="1">
        <f t="shared" ref="X50:X59" si="44">+P50-T50</f>
        <v>0</v>
      </c>
      <c r="Y50" s="1"/>
      <c r="Z50" s="5">
        <f t="shared" ref="Z50:Z59" si="45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>
        <v>0</v>
      </c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0</v>
      </c>
      <c r="I52" s="1"/>
      <c r="J52" s="5">
        <f t="shared" si="39"/>
        <v>0</v>
      </c>
      <c r="K52" s="1"/>
      <c r="L52" s="1">
        <f t="shared" si="40"/>
        <v>0</v>
      </c>
      <c r="M52" s="1"/>
      <c r="N52" s="5">
        <f t="shared" si="41"/>
        <v>0</v>
      </c>
      <c r="O52" s="13"/>
      <c r="P52" s="1">
        <f>SUM(OSRRefP22_6x_0)</f>
        <v>263.72000000000003</v>
      </c>
      <c r="Q52" s="1"/>
      <c r="R52" s="5">
        <f t="shared" si="42"/>
        <v>0</v>
      </c>
      <c r="S52" s="1"/>
      <c r="T52" s="1">
        <f>SUM(OSRRefT22_6x_0)</f>
        <v>0</v>
      </c>
      <c r="U52" s="1"/>
      <c r="V52" s="5">
        <f t="shared" si="43"/>
        <v>0</v>
      </c>
      <c r="W52" s="1"/>
      <c r="X52" s="1">
        <f t="shared" si="44"/>
        <v>263.72000000000003</v>
      </c>
      <c r="Y52" s="1"/>
      <c r="Z52" s="5">
        <f t="shared" si="45"/>
        <v>0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/>
      <c r="I53" s="2"/>
      <c r="J53" s="6">
        <f t="shared" si="39"/>
        <v>0</v>
      </c>
      <c r="K53" s="2"/>
      <c r="L53" s="7">
        <f t="shared" si="40"/>
        <v>0</v>
      </c>
      <c r="M53" s="2"/>
      <c r="N53" s="6">
        <f t="shared" si="41"/>
        <v>0</v>
      </c>
      <c r="O53" s="11"/>
      <c r="P53" s="7">
        <v>263.72000000000003</v>
      </c>
      <c r="Q53" s="2"/>
      <c r="R53" s="6">
        <f t="shared" si="42"/>
        <v>0</v>
      </c>
      <c r="S53" s="2"/>
      <c r="T53" s="7"/>
      <c r="U53" s="2"/>
      <c r="V53" s="6">
        <f t="shared" si="43"/>
        <v>0</v>
      </c>
      <c r="W53" s="2"/>
      <c r="X53" s="7">
        <f t="shared" si="44"/>
        <v>263.72000000000003</v>
      </c>
      <c r="Y53" s="2"/>
      <c r="Z53" s="6">
        <f t="shared" si="45"/>
        <v>0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2969.55</v>
      </c>
      <c r="Q54" s="1"/>
      <c r="R54" s="5">
        <f t="shared" si="42"/>
        <v>0</v>
      </c>
      <c r="S54" s="1"/>
      <c r="T54" s="1">
        <f>SUM(OSRRefT22_7x_0)</f>
        <v>1800</v>
      </c>
      <c r="U54" s="1"/>
      <c r="V54" s="5">
        <f t="shared" si="43"/>
        <v>0</v>
      </c>
      <c r="W54" s="1"/>
      <c r="X54" s="1">
        <f t="shared" si="44"/>
        <v>1169.5500000000002</v>
      </c>
      <c r="Y54" s="1"/>
      <c r="Z54" s="5">
        <f t="shared" si="45"/>
        <v>0.64975000000000005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/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2969.55</v>
      </c>
      <c r="Q55" s="2"/>
      <c r="R55" s="6">
        <f t="shared" si="42"/>
        <v>0</v>
      </c>
      <c r="S55" s="2"/>
      <c r="T55" s="7">
        <v>1800</v>
      </c>
      <c r="U55" s="2"/>
      <c r="V55" s="6">
        <f t="shared" si="43"/>
        <v>0</v>
      </c>
      <c r="W55" s="2"/>
      <c r="X55" s="7">
        <f t="shared" si="44"/>
        <v>1169.5500000000002</v>
      </c>
      <c r="Y55" s="2"/>
      <c r="Z55" s="6">
        <f t="shared" si="45"/>
        <v>0.64975000000000005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0</v>
      </c>
      <c r="I56" s="1"/>
      <c r="J56" s="5">
        <f t="shared" si="39"/>
        <v>0</v>
      </c>
      <c r="K56" s="1"/>
      <c r="L56" s="1">
        <f t="shared" si="40"/>
        <v>0</v>
      </c>
      <c r="M56" s="1"/>
      <c r="N56" s="5">
        <f t="shared" si="41"/>
        <v>0</v>
      </c>
      <c r="O56" s="13"/>
      <c r="P56" s="1">
        <f>SUM(OSRRefP22_8x_0)</f>
        <v>675.19</v>
      </c>
      <c r="Q56" s="1"/>
      <c r="R56" s="5">
        <f t="shared" si="42"/>
        <v>0</v>
      </c>
      <c r="S56" s="1"/>
      <c r="T56" s="1">
        <f>SUM(OSRRefT22_8x_0)</f>
        <v>0</v>
      </c>
      <c r="U56" s="1"/>
      <c r="V56" s="5">
        <f t="shared" si="43"/>
        <v>0</v>
      </c>
      <c r="W56" s="1"/>
      <c r="X56" s="1">
        <f t="shared" si="44"/>
        <v>675.19</v>
      </c>
      <c r="Y56" s="1"/>
      <c r="Z56" s="5">
        <f t="shared" si="45"/>
        <v>0</v>
      </c>
    </row>
    <row r="57" spans="1:26" s="24" customFormat="1" hidden="1" outlineLevel="2" x14ac:dyDescent="0.25">
      <c r="A57" s="26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/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0</v>
      </c>
      <c r="Y57" s="2"/>
      <c r="Z57" s="6">
        <f t="shared" si="45"/>
        <v>0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675.19</v>
      </c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675.19</v>
      </c>
      <c r="Y58" s="2"/>
      <c r="Z58" s="6">
        <f t="shared" si="45"/>
        <v>0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/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0</v>
      </c>
      <c r="Y59" s="2"/>
      <c r="Z59" s="6">
        <f t="shared" si="45"/>
        <v>0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46">IF(D$12=0,0,D60/D$12)</f>
        <v>0</v>
      </c>
      <c r="G60" s="1"/>
      <c r="H60" s="1">
        <f>SUM(OSRRefH22_9x_0)</f>
        <v>0</v>
      </c>
      <c r="I60" s="1"/>
      <c r="J60" s="5">
        <f t="shared" ref="J60:J62" si="47">IF(H$12=0,0,H60/H$12)</f>
        <v>0</v>
      </c>
      <c r="K60" s="1"/>
      <c r="L60" s="1">
        <f t="shared" ref="L60:L62" si="48">+D60-H60</f>
        <v>0</v>
      </c>
      <c r="M60" s="1"/>
      <c r="N60" s="5">
        <f t="shared" ref="N60:N62" si="49">IF(H60=0,0,L60/H60)</f>
        <v>0</v>
      </c>
      <c r="O60" s="13"/>
      <c r="P60" s="1">
        <f>SUM(OSRRefP22_9x_0)</f>
        <v>0</v>
      </c>
      <c r="Q60" s="1"/>
      <c r="R60" s="5">
        <f t="shared" ref="R60:R62" si="50">IF(P$12=0,0,P60/P$12)</f>
        <v>0</v>
      </c>
      <c r="S60" s="1"/>
      <c r="T60" s="1">
        <f>SUM(OSRRefT22_9x_0)</f>
        <v>0</v>
      </c>
      <c r="U60" s="1"/>
      <c r="V60" s="5">
        <f t="shared" ref="V60:V62" si="51">IF(T$12=0,0,T60/T$12)</f>
        <v>0</v>
      </c>
      <c r="W60" s="1"/>
      <c r="X60" s="1">
        <f t="shared" ref="X60:X62" si="52">+P60-T60</f>
        <v>0</v>
      </c>
      <c r="Y60" s="1"/>
      <c r="Z60" s="5">
        <f t="shared" ref="Z60:Z62" si="53">IF(T60=0,0,X60/T60)</f>
        <v>0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5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SUM(OSRRefD22_10x_0)</f>
        <v>0</v>
      </c>
      <c r="E63" s="1"/>
      <c r="F63" s="5">
        <f t="shared" ref="F63:F65" si="54">IF(D$12=0,0,D63/D$12)</f>
        <v>0</v>
      </c>
      <c r="G63" s="1"/>
      <c r="H63" s="1">
        <f>SUM(OSRRefH22_10x_0)</f>
        <v>0</v>
      </c>
      <c r="I63" s="1"/>
      <c r="J63" s="5">
        <f t="shared" ref="J63:J65" si="55">IF(H$12=0,0,H63/H$12)</f>
        <v>0</v>
      </c>
      <c r="K63" s="1"/>
      <c r="L63" s="1">
        <f t="shared" ref="L63:L65" si="56">+D63-H63</f>
        <v>0</v>
      </c>
      <c r="M63" s="1"/>
      <c r="N63" s="5">
        <f t="shared" ref="N63:N65" si="57">IF(H63=0,0,L63/H63)</f>
        <v>0</v>
      </c>
      <c r="O63" s="13"/>
      <c r="P63" s="1">
        <f>SUM(OSRRefP22_10x_0)</f>
        <v>0</v>
      </c>
      <c r="Q63" s="1"/>
      <c r="R63" s="5">
        <f t="shared" ref="R63:R65" si="58">IF(P$12=0,0,P63/P$12)</f>
        <v>0</v>
      </c>
      <c r="S63" s="1"/>
      <c r="T63" s="1">
        <f>SUM(OSRRefT22_10x_0)</f>
        <v>0</v>
      </c>
      <c r="U63" s="1"/>
      <c r="V63" s="5">
        <f t="shared" ref="V63:V65" si="59">IF(T$12=0,0,T63/T$12)</f>
        <v>0</v>
      </c>
      <c r="W63" s="1"/>
      <c r="X63" s="1">
        <f t="shared" ref="X63:X65" si="60">+P63-T63</f>
        <v>0</v>
      </c>
      <c r="Y63" s="1"/>
      <c r="Z63" s="5">
        <f t="shared" ref="Z63:Z65" si="61">IF(T63=0,0,X63/T63)</f>
        <v>0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54"/>
        <v>0</v>
      </c>
      <c r="G64" s="2"/>
      <c r="H64" s="7"/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0</v>
      </c>
      <c r="U64" s="2"/>
      <c r="V64" s="6">
        <f t="shared" si="59"/>
        <v>0</v>
      </c>
      <c r="W64" s="2"/>
      <c r="X64" s="7">
        <f t="shared" si="60"/>
        <v>0</v>
      </c>
      <c r="Y64" s="2"/>
      <c r="Z64" s="6">
        <f t="shared" si="61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54"/>
        <v>0</v>
      </c>
      <c r="G65" s="2"/>
      <c r="H65" s="7">
        <v>0</v>
      </c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/>
      <c r="Q65" s="2"/>
      <c r="R65" s="6">
        <f t="shared" si="58"/>
        <v>0</v>
      </c>
      <c r="S65" s="2"/>
      <c r="T65" s="7">
        <v>0</v>
      </c>
      <c r="U65" s="2"/>
      <c r="V65" s="6">
        <f t="shared" si="59"/>
        <v>0</v>
      </c>
      <c r="W65" s="2"/>
      <c r="X65" s="7">
        <f t="shared" si="60"/>
        <v>0</v>
      </c>
      <c r="Y65" s="2"/>
      <c r="Z65" s="6">
        <f t="shared" si="61"/>
        <v>0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SUM(OSRRefD22_11x_0)</f>
        <v>0</v>
      </c>
      <c r="E66" s="1"/>
      <c r="F66" s="5">
        <f t="shared" ref="F66:F76" si="62">IF(D$12=0,0,D66/D$12)</f>
        <v>0</v>
      </c>
      <c r="G66" s="1"/>
      <c r="H66" s="1">
        <f>SUM(OSRRefH22_11x_0)</f>
        <v>0</v>
      </c>
      <c r="I66" s="1"/>
      <c r="J66" s="5">
        <f t="shared" ref="J66:J76" si="63">IF(H$12=0,0,H66/H$12)</f>
        <v>0</v>
      </c>
      <c r="K66" s="1"/>
      <c r="L66" s="1">
        <f t="shared" ref="L66:L76" si="64">+D66-H66</f>
        <v>0</v>
      </c>
      <c r="M66" s="1"/>
      <c r="N66" s="5">
        <f t="shared" ref="N66:N76" si="65">IF(H66=0,0,L66/H66)</f>
        <v>0</v>
      </c>
      <c r="O66" s="13"/>
      <c r="P66" s="1">
        <f>SUM(OSRRefP22_11x_0)</f>
        <v>0</v>
      </c>
      <c r="Q66" s="1"/>
      <c r="R66" s="5">
        <f t="shared" ref="R66:R76" si="66">IF(P$12=0,0,P66/P$12)</f>
        <v>0</v>
      </c>
      <c r="S66" s="1"/>
      <c r="T66" s="1">
        <f>SUM(OSRRefT22_11x_0)</f>
        <v>0</v>
      </c>
      <c r="U66" s="1"/>
      <c r="V66" s="5">
        <f t="shared" ref="V66:V76" si="67">IF(T$12=0,0,T66/T$12)</f>
        <v>0</v>
      </c>
      <c r="W66" s="1"/>
      <c r="X66" s="1">
        <f t="shared" ref="X66:X76" si="68">+P66-T66</f>
        <v>0</v>
      </c>
      <c r="Y66" s="1"/>
      <c r="Z66" s="5">
        <f t="shared" ref="Z66:Z76" si="69">IF(T66=0,0,X66/T66)</f>
        <v>0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7"/>
      <c r="E67" s="2"/>
      <c r="F67" s="6">
        <f t="shared" si="62"/>
        <v>0</v>
      </c>
      <c r="G67" s="2"/>
      <c r="H67" s="7"/>
      <c r="I67" s="2"/>
      <c r="J67" s="6">
        <f t="shared" si="63"/>
        <v>0</v>
      </c>
      <c r="K67" s="2"/>
      <c r="L67" s="7">
        <f t="shared" si="64"/>
        <v>0</v>
      </c>
      <c r="M67" s="2"/>
      <c r="N67" s="6">
        <f t="shared" si="65"/>
        <v>0</v>
      </c>
      <c r="O67" s="11"/>
      <c r="P67" s="7"/>
      <c r="Q67" s="2"/>
      <c r="R67" s="6">
        <f t="shared" si="66"/>
        <v>0</v>
      </c>
      <c r="S67" s="2"/>
      <c r="T67" s="7">
        <v>0</v>
      </c>
      <c r="U67" s="2"/>
      <c r="V67" s="6">
        <f t="shared" si="67"/>
        <v>0</v>
      </c>
      <c r="W67" s="2"/>
      <c r="X67" s="7">
        <f t="shared" si="68"/>
        <v>0</v>
      </c>
      <c r="Y67" s="2"/>
      <c r="Z67" s="6">
        <f t="shared" si="69"/>
        <v>0</v>
      </c>
    </row>
    <row r="68" spans="1:26" s="24" customFormat="1" hidden="1" outlineLevel="2" x14ac:dyDescent="0.25">
      <c r="A68" s="26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62"/>
        <v>0</v>
      </c>
      <c r="G68" s="2"/>
      <c r="H68" s="7">
        <v>0</v>
      </c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0</v>
      </c>
      <c r="U68" s="2"/>
      <c r="V68" s="6">
        <f t="shared" si="67"/>
        <v>0</v>
      </c>
      <c r="W68" s="2"/>
      <c r="X68" s="7">
        <f t="shared" si="68"/>
        <v>0</v>
      </c>
      <c r="Y68" s="2"/>
      <c r="Z68" s="6">
        <f t="shared" si="69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62"/>
        <v>0</v>
      </c>
      <c r="G69" s="2"/>
      <c r="H69" s="7">
        <v>0</v>
      </c>
      <c r="I69" s="2"/>
      <c r="J69" s="6">
        <f t="shared" si="63"/>
        <v>0</v>
      </c>
      <c r="K69" s="2"/>
      <c r="L69" s="7">
        <f t="shared" si="64"/>
        <v>0</v>
      </c>
      <c r="M69" s="2"/>
      <c r="N69" s="6">
        <f t="shared" si="65"/>
        <v>0</v>
      </c>
      <c r="O69" s="11"/>
      <c r="P69" s="7"/>
      <c r="Q69" s="2"/>
      <c r="R69" s="6">
        <f t="shared" si="66"/>
        <v>0</v>
      </c>
      <c r="S69" s="2"/>
      <c r="T69" s="7">
        <v>0</v>
      </c>
      <c r="U69" s="2"/>
      <c r="V69" s="6">
        <f t="shared" si="67"/>
        <v>0</v>
      </c>
      <c r="W69" s="2"/>
      <c r="X69" s="7">
        <f t="shared" si="68"/>
        <v>0</v>
      </c>
      <c r="Y69" s="2"/>
      <c r="Z69" s="6">
        <f t="shared" si="69"/>
        <v>0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62"/>
        <v>0</v>
      </c>
      <c r="G70" s="2"/>
      <c r="H70" s="7"/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0</v>
      </c>
      <c r="U70" s="2"/>
      <c r="V70" s="6">
        <f t="shared" si="67"/>
        <v>0</v>
      </c>
      <c r="W70" s="2"/>
      <c r="X70" s="7">
        <f t="shared" si="68"/>
        <v>0</v>
      </c>
      <c r="Y70" s="2"/>
      <c r="Z70" s="6">
        <f t="shared" si="69"/>
        <v>0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62"/>
        <v>0</v>
      </c>
      <c r="G71" s="2"/>
      <c r="H71" s="7">
        <v>0</v>
      </c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0</v>
      </c>
      <c r="U71" s="2"/>
      <c r="V71" s="6">
        <f t="shared" si="67"/>
        <v>0</v>
      </c>
      <c r="W71" s="2"/>
      <c r="X71" s="7">
        <f t="shared" si="68"/>
        <v>0</v>
      </c>
      <c r="Y71" s="2"/>
      <c r="Z71" s="6">
        <f t="shared" si="69"/>
        <v>0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62"/>
        <v>0</v>
      </c>
      <c r="G72" s="2"/>
      <c r="H72" s="7">
        <v>0</v>
      </c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0</v>
      </c>
      <c r="U72" s="2"/>
      <c r="V72" s="6">
        <f t="shared" si="67"/>
        <v>0</v>
      </c>
      <c r="W72" s="2"/>
      <c r="X72" s="7">
        <f t="shared" si="68"/>
        <v>0</v>
      </c>
      <c r="Y72" s="2"/>
      <c r="Z72" s="6">
        <f t="shared" si="69"/>
        <v>0</v>
      </c>
    </row>
    <row r="73" spans="1:26" s="24" customFormat="1" hidden="1" outlineLevel="2" x14ac:dyDescent="0.25">
      <c r="A73" s="26"/>
      <c r="B73" s="11" t="str">
        <f>CONCATENATE("          ", "6244", " - ", "SAFETY SUPPLY EXPENSE")</f>
        <v xml:space="preserve">          6244 - SAFETY SUPPLY EXPENSE</v>
      </c>
      <c r="C73" s="11"/>
      <c r="D73" s="7"/>
      <c r="E73" s="2"/>
      <c r="F73" s="6">
        <f t="shared" si="62"/>
        <v>0</v>
      </c>
      <c r="G73" s="2"/>
      <c r="H73" s="7">
        <v>0</v>
      </c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0</v>
      </c>
      <c r="U73" s="2"/>
      <c r="V73" s="6">
        <f t="shared" si="67"/>
        <v>0</v>
      </c>
      <c r="W73" s="2"/>
      <c r="X73" s="7">
        <f t="shared" si="68"/>
        <v>0</v>
      </c>
      <c r="Y73" s="2"/>
      <c r="Z73" s="6">
        <f t="shared" si="69"/>
        <v>0</v>
      </c>
    </row>
    <row r="74" spans="1:26" s="24" customFormat="1" hidden="1" outlineLevel="2" x14ac:dyDescent="0.25">
      <c r="A74" s="26"/>
      <c r="B74" s="11" t="str">
        <f>CONCATENATE("          ", "6245", " - ", "PRINTING")</f>
        <v xml:space="preserve">          6245 - PRINTING</v>
      </c>
      <c r="C74" s="11"/>
      <c r="D74" s="7"/>
      <c r="E74" s="2"/>
      <c r="F74" s="6">
        <f t="shared" si="62"/>
        <v>0</v>
      </c>
      <c r="G74" s="2"/>
      <c r="H74" s="7">
        <v>0</v>
      </c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0</v>
      </c>
      <c r="U74" s="2"/>
      <c r="V74" s="6">
        <f t="shared" si="67"/>
        <v>0</v>
      </c>
      <c r="W74" s="2"/>
      <c r="X74" s="7">
        <f t="shared" si="68"/>
        <v>0</v>
      </c>
      <c r="Y74" s="2"/>
      <c r="Z74" s="6">
        <f t="shared" si="69"/>
        <v>0</v>
      </c>
    </row>
    <row r="75" spans="1:26" s="24" customFormat="1" hidden="1" outlineLevel="2" x14ac:dyDescent="0.25">
      <c r="A75" s="26"/>
      <c r="B75" s="11" t="str">
        <f>CONCATENATE("          ", "6246", " - ", "REPLACEMENTS")</f>
        <v xml:space="preserve">          6246 - REPLACEMENTS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0</v>
      </c>
      <c r="E77" s="1"/>
      <c r="F77" s="5">
        <f t="shared" ref="F77:F79" si="70">IF(D$12=0,0,D77/D$12)</f>
        <v>0</v>
      </c>
      <c r="G77" s="1"/>
      <c r="H77" s="1">
        <f>SUM(OSRRefH22_12x_0)</f>
        <v>0</v>
      </c>
      <c r="I77" s="1"/>
      <c r="J77" s="5">
        <f t="shared" ref="J77:J79" si="71">IF(H$12=0,0,H77/H$12)</f>
        <v>0</v>
      </c>
      <c r="K77" s="1"/>
      <c r="L77" s="1">
        <f t="shared" ref="L77:L79" si="72">+D77-H77</f>
        <v>0</v>
      </c>
      <c r="M77" s="1"/>
      <c r="N77" s="5">
        <f t="shared" ref="N77:N79" si="73">IF(H77=0,0,L77/H77)</f>
        <v>0</v>
      </c>
      <c r="O77" s="13"/>
      <c r="P77" s="1">
        <f>SUM(OSRRefP22_12x_0)</f>
        <v>250.87</v>
      </c>
      <c r="Q77" s="1"/>
      <c r="R77" s="5">
        <f t="shared" ref="R77:R79" si="74">IF(P$12=0,0,P77/P$12)</f>
        <v>0</v>
      </c>
      <c r="S77" s="1"/>
      <c r="T77" s="1">
        <f>SUM(OSRRefT22_12x_0)</f>
        <v>0</v>
      </c>
      <c r="U77" s="1"/>
      <c r="V77" s="5">
        <f t="shared" ref="V77:V79" si="75">IF(T$12=0,0,T77/T$12)</f>
        <v>0</v>
      </c>
      <c r="W77" s="1"/>
      <c r="X77" s="1">
        <f t="shared" ref="X77:X79" si="76">+P77-T77</f>
        <v>250.87</v>
      </c>
      <c r="Y77" s="1"/>
      <c r="Z77" s="5">
        <f t="shared" ref="Z77:Z79" si="77">IF(T77=0,0,X77/T77)</f>
        <v>0</v>
      </c>
    </row>
    <row r="78" spans="1:26" s="24" customFormat="1" hidden="1" outlineLevel="2" x14ac:dyDescent="0.25">
      <c r="A78" s="26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70"/>
        <v>0</v>
      </c>
      <c r="G78" s="2"/>
      <c r="H78" s="7">
        <v>0</v>
      </c>
      <c r="I78" s="2"/>
      <c r="J78" s="6">
        <f t="shared" si="71"/>
        <v>0</v>
      </c>
      <c r="K78" s="2"/>
      <c r="L78" s="7">
        <f t="shared" si="72"/>
        <v>0</v>
      </c>
      <c r="M78" s="2"/>
      <c r="N78" s="6">
        <f t="shared" si="73"/>
        <v>0</v>
      </c>
      <c r="O78" s="11"/>
      <c r="P78" s="7"/>
      <c r="Q78" s="2"/>
      <c r="R78" s="6">
        <f t="shared" si="74"/>
        <v>0</v>
      </c>
      <c r="S78" s="2"/>
      <c r="T78" s="7">
        <v>0</v>
      </c>
      <c r="U78" s="2"/>
      <c r="V78" s="6">
        <f t="shared" si="75"/>
        <v>0</v>
      </c>
      <c r="W78" s="2"/>
      <c r="X78" s="7">
        <f t="shared" si="76"/>
        <v>0</v>
      </c>
      <c r="Y78" s="2"/>
      <c r="Z78" s="6">
        <f t="shared" si="77"/>
        <v>0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7"/>
      <c r="E79" s="2"/>
      <c r="F79" s="6">
        <f t="shared" si="70"/>
        <v>0</v>
      </c>
      <c r="G79" s="2"/>
      <c r="H79" s="7"/>
      <c r="I79" s="2"/>
      <c r="J79" s="6">
        <f t="shared" si="71"/>
        <v>0</v>
      </c>
      <c r="K79" s="2"/>
      <c r="L79" s="7">
        <f t="shared" si="72"/>
        <v>0</v>
      </c>
      <c r="M79" s="2"/>
      <c r="N79" s="6">
        <f t="shared" si="73"/>
        <v>0</v>
      </c>
      <c r="O79" s="11"/>
      <c r="P79" s="7">
        <v>250.87</v>
      </c>
      <c r="Q79" s="2"/>
      <c r="R79" s="6">
        <f t="shared" si="74"/>
        <v>0</v>
      </c>
      <c r="S79" s="2"/>
      <c r="T79" s="7"/>
      <c r="U79" s="2"/>
      <c r="V79" s="6">
        <f t="shared" si="75"/>
        <v>0</v>
      </c>
      <c r="W79" s="2"/>
      <c r="X79" s="7">
        <f t="shared" si="76"/>
        <v>250.87</v>
      </c>
      <c r="Y79" s="2"/>
      <c r="Z79" s="6">
        <f t="shared" si="77"/>
        <v>0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1" si="78">IF(D$12=0,0,D80/D$12)</f>
        <v>0</v>
      </c>
      <c r="G80" s="1"/>
      <c r="H80" s="1">
        <f>SUM(OSRRefH22_13x_0)</f>
        <v>0</v>
      </c>
      <c r="I80" s="1"/>
      <c r="J80" s="5">
        <f t="shared" ref="J80:J81" si="79">IF(H$12=0,0,H80/H$12)</f>
        <v>0</v>
      </c>
      <c r="K80" s="1"/>
      <c r="L80" s="1">
        <f t="shared" ref="L80:L81" si="80">+D80-H80</f>
        <v>0</v>
      </c>
      <c r="M80" s="1"/>
      <c r="N80" s="5">
        <f t="shared" ref="N80:N81" si="81">IF(H80=0,0,L80/H80)</f>
        <v>0</v>
      </c>
      <c r="O80" s="13"/>
      <c r="P80" s="1">
        <f>SUM(OSRRefP22_13x_0)</f>
        <v>0</v>
      </c>
      <c r="Q80" s="1"/>
      <c r="R80" s="5">
        <f t="shared" ref="R80:R81" si="82">IF(P$12=0,0,P80/P$12)</f>
        <v>0</v>
      </c>
      <c r="S80" s="1"/>
      <c r="T80" s="1">
        <f>SUM(OSRRefT22_13x_0)</f>
        <v>0</v>
      </c>
      <c r="U80" s="1"/>
      <c r="V80" s="5">
        <f t="shared" ref="V80:V81" si="83">IF(T$12=0,0,T80/T$12)</f>
        <v>0</v>
      </c>
      <c r="W80" s="1"/>
      <c r="X80" s="1">
        <f t="shared" ref="X80:X81" si="84">+P80-T80</f>
        <v>0</v>
      </c>
      <c r="Y80" s="1"/>
      <c r="Z80" s="5">
        <f t="shared" ref="Z80:Z81" si="85">IF(T80=0,0,X80/T80)</f>
        <v>0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78"/>
        <v>0</v>
      </c>
      <c r="G81" s="2"/>
      <c r="H81" s="7">
        <v>0</v>
      </c>
      <c r="I81" s="2"/>
      <c r="J81" s="6">
        <f t="shared" si="79"/>
        <v>0</v>
      </c>
      <c r="K81" s="2"/>
      <c r="L81" s="7">
        <f t="shared" si="80"/>
        <v>0</v>
      </c>
      <c r="M81" s="2"/>
      <c r="N81" s="6">
        <f t="shared" si="81"/>
        <v>0</v>
      </c>
      <c r="O81" s="11"/>
      <c r="P81" s="7"/>
      <c r="Q81" s="2"/>
      <c r="R81" s="6">
        <f t="shared" si="82"/>
        <v>0</v>
      </c>
      <c r="S81" s="2"/>
      <c r="T81" s="7">
        <v>0</v>
      </c>
      <c r="U81" s="2"/>
      <c r="V81" s="6">
        <f t="shared" si="83"/>
        <v>0</v>
      </c>
      <c r="W81" s="2"/>
      <c r="X81" s="7">
        <f t="shared" si="84"/>
        <v>0</v>
      </c>
      <c r="Y81" s="2"/>
      <c r="Z81" s="6">
        <f t="shared" si="85"/>
        <v>0</v>
      </c>
    </row>
    <row r="82" spans="1:26" s="61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293</v>
      </c>
      <c r="C83" s="10"/>
      <c r="D83" s="4">
        <f>SUM(OSRRefD25x_0)</f>
        <v>0</v>
      </c>
      <c r="E83" s="4"/>
      <c r="F83" s="12">
        <f t="shared" ref="F83:F84" si="86">IF(D$12=0,0,D83/D$12)</f>
        <v>0</v>
      </c>
      <c r="G83" s="4"/>
      <c r="H83" s="4">
        <f>SUM(OSRRefH25x_0)</f>
        <v>0</v>
      </c>
      <c r="I83" s="4"/>
      <c r="J83" s="12">
        <f t="shared" ref="J83:J84" si="87">IF(H$12=0,0,H83/H$12)</f>
        <v>0</v>
      </c>
      <c r="K83" s="4"/>
      <c r="L83" s="4">
        <f t="shared" ref="L83:L84" si="88">+D83-H83</f>
        <v>0</v>
      </c>
      <c r="M83" s="4"/>
      <c r="N83" s="12">
        <f t="shared" ref="N83:N84" si="89">IF(H83=0,0,L83/H83)</f>
        <v>0</v>
      </c>
      <c r="O83" s="10"/>
      <c r="P83" s="4">
        <f>SUM(OSRRefP25x_0)</f>
        <v>111.42</v>
      </c>
      <c r="Q83" s="4"/>
      <c r="R83" s="12">
        <f t="shared" ref="R83:R84" si="90">IF(P$12=0,0,P83/P$12)</f>
        <v>0</v>
      </c>
      <c r="S83" s="4"/>
      <c r="T83" s="4">
        <f>SUM(OSRRefT25x_0)</f>
        <v>0</v>
      </c>
      <c r="U83" s="4"/>
      <c r="V83" s="12">
        <f t="shared" ref="V83:V84" si="91">IF(T$12=0,0,T83/T$12)</f>
        <v>0</v>
      </c>
      <c r="W83" s="4"/>
      <c r="X83" s="4">
        <f t="shared" ref="X83:X84" si="92">+P83-T83</f>
        <v>111.42</v>
      </c>
      <c r="Y83" s="4"/>
      <c r="Z83" s="12">
        <f t="shared" ref="Z83:Z84" si="93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6"/>
        <v>0</v>
      </c>
      <c r="G84" s="2"/>
      <c r="H84" s="2"/>
      <c r="I84" s="2"/>
      <c r="J84" s="19">
        <f t="shared" si="87"/>
        <v>0</v>
      </c>
      <c r="K84" s="2"/>
      <c r="L84" s="2">
        <f t="shared" si="88"/>
        <v>0</v>
      </c>
      <c r="M84" s="2"/>
      <c r="N84" s="19">
        <f t="shared" si="89"/>
        <v>0</v>
      </c>
      <c r="O84" s="11"/>
      <c r="P84" s="2">
        <f>--111.42</f>
        <v>111.42</v>
      </c>
      <c r="Q84" s="2"/>
      <c r="R84" s="19">
        <f t="shared" si="90"/>
        <v>0</v>
      </c>
      <c r="S84" s="2"/>
      <c r="T84" s="2"/>
      <c r="U84" s="2"/>
      <c r="V84" s="19">
        <f t="shared" si="91"/>
        <v>0</v>
      </c>
      <c r="W84" s="2"/>
      <c r="X84" s="2">
        <f t="shared" si="92"/>
        <v>111.42</v>
      </c>
      <c r="Y84" s="2"/>
      <c r="Z84" s="19">
        <f t="shared" si="93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1">
        <f>+D20-D22+D83</f>
        <v>-6745.17</v>
      </c>
      <c r="E86" s="14"/>
      <c r="F86" s="20">
        <f>IF(D$12=0,0,D86/D$12)</f>
        <v>0</v>
      </c>
      <c r="G86" s="14"/>
      <c r="H86" s="21">
        <f>+H20-H22+H83</f>
        <v>-6745</v>
      </c>
      <c r="I86" s="14"/>
      <c r="J86" s="20">
        <f>IF(H$12=0,0,H86/H$12)</f>
        <v>0</v>
      </c>
      <c r="K86" s="16"/>
      <c r="L86" s="21">
        <f>+D86-H86</f>
        <v>-0.17000000000007276</v>
      </c>
      <c r="M86" s="16"/>
      <c r="N86" s="20">
        <f>IF(H86=0,0,L86/H86)</f>
        <v>2.5203854707201298E-5</v>
      </c>
      <c r="O86" s="29"/>
      <c r="P86" s="21">
        <f>+P20-P22+P83</f>
        <v>-80733.090000000011</v>
      </c>
      <c r="Q86" s="14"/>
      <c r="R86" s="20">
        <f>IF(P$12=0,0,P86/P$12)</f>
        <v>0</v>
      </c>
      <c r="S86" s="14"/>
      <c r="T86" s="21">
        <f>+T20-T22+T83</f>
        <v>-70549</v>
      </c>
      <c r="U86" s="14"/>
      <c r="V86" s="20">
        <f>IF(T$12=0,0,T86/T$12)</f>
        <v>0</v>
      </c>
      <c r="W86" s="16"/>
      <c r="X86" s="21">
        <f>+P86-T86</f>
        <v>-10184.090000000011</v>
      </c>
      <c r="Y86" s="16"/>
      <c r="Z86" s="20">
        <f>IF(T86=0,0,X86/T86)</f>
        <v>0.14435484556832856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1">
        <f>+D86-D88</f>
        <v>-6745.17</v>
      </c>
      <c r="E90" s="14"/>
      <c r="F90" s="33">
        <f>IF(D$12=0,0,D90/D$12)</f>
        <v>0</v>
      </c>
      <c r="G90" s="14"/>
      <c r="H90" s="31">
        <f>+H86-H88</f>
        <v>-6745</v>
      </c>
      <c r="I90" s="14"/>
      <c r="J90" s="33">
        <f>IF(H$12=0,0,H90/H$12)</f>
        <v>0</v>
      </c>
      <c r="K90" s="16"/>
      <c r="L90" s="31">
        <f>D90-H90</f>
        <v>-0.17000000000007276</v>
      </c>
      <c r="M90" s="16"/>
      <c r="N90" s="33">
        <f>IF(H90=0,0,L90/H90)</f>
        <v>2.5203854707201298E-5</v>
      </c>
      <c r="O90" s="29"/>
      <c r="P90" s="31">
        <f>+P86-P88</f>
        <v>-80733.090000000011</v>
      </c>
      <c r="Q90" s="14"/>
      <c r="R90" s="33">
        <f>IF(P$12=0,0,P90/P$12)</f>
        <v>0</v>
      </c>
      <c r="S90" s="14"/>
      <c r="T90" s="31">
        <f>+T86-T88</f>
        <v>-70549</v>
      </c>
      <c r="U90" s="14"/>
      <c r="V90" s="33">
        <f>IF(T$12=0,0,T90/T$12)</f>
        <v>0</v>
      </c>
      <c r="W90" s="16"/>
      <c r="X90" s="31">
        <f>P90-T90</f>
        <v>-10184.090000000011</v>
      </c>
      <c r="Y90" s="16"/>
      <c r="Z90" s="33">
        <f>IF(T90=0,0,X90/T90)</f>
        <v>0.14435484556832856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4">
        <f>SUM(D90:D92)</f>
        <v>-6745.17</v>
      </c>
      <c r="E93" s="14"/>
      <c r="F93" s="35">
        <f>IF(D$12=0,0,D93/D$12)</f>
        <v>0</v>
      </c>
      <c r="G93" s="14"/>
      <c r="H93" s="34">
        <f>SUM(H90:H92)</f>
        <v>-6745</v>
      </c>
      <c r="I93" s="14"/>
      <c r="J93" s="35">
        <f>IF(H$12=0,0,H93/H$12)</f>
        <v>0</v>
      </c>
      <c r="K93" s="16"/>
      <c r="L93" s="34">
        <f>+D93-H93</f>
        <v>-0.17000000000007276</v>
      </c>
      <c r="M93" s="16"/>
      <c r="N93" s="35">
        <f>IF(H93=0,0,L93/H93)</f>
        <v>2.5203854707201298E-5</v>
      </c>
      <c r="O93" s="29"/>
      <c r="P93" s="34">
        <f>SUM(P90:P92)</f>
        <v>-80733.090000000011</v>
      </c>
      <c r="Q93" s="14"/>
      <c r="R93" s="35">
        <f>IF(P$12=0,0,P93/P$12)</f>
        <v>0</v>
      </c>
      <c r="S93" s="14"/>
      <c r="T93" s="34">
        <f>SUM(T90:T92)</f>
        <v>-70549</v>
      </c>
      <c r="U93" s="14"/>
      <c r="V93" s="35">
        <f>IF(T$12=0,0,T93/T$12)</f>
        <v>0</v>
      </c>
      <c r="W93" s="16"/>
      <c r="X93" s="34">
        <f>+P93-T93</f>
        <v>-10184.090000000011</v>
      </c>
      <c r="Y93" s="16"/>
      <c r="Z93" s="35">
        <f>IF(T93=0,0,X93/T93)</f>
        <v>0.14435484556832856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2">
        <v>44330.0058283912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60315.630000000005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60315.630000000005</v>
      </c>
      <c r="M12" s="4"/>
      <c r="N12" s="12">
        <f t="shared" ref="N12:N14" si="1">IF(H12=0,0,L12/H12)</f>
        <v>0</v>
      </c>
      <c r="O12" s="10"/>
      <c r="P12" s="4">
        <f>SUM(OSRRefP13x_0)</f>
        <v>392255.74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392255.74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--48734.68</f>
        <v>48734.68</v>
      </c>
      <c r="E13" s="2"/>
      <c r="F13" s="19"/>
      <c r="G13" s="2"/>
      <c r="H13" s="2"/>
      <c r="I13" s="2"/>
      <c r="J13" s="19"/>
      <c r="K13" s="2"/>
      <c r="L13" s="2">
        <f t="shared" si="0"/>
        <v>48734.68</v>
      </c>
      <c r="M13" s="2"/>
      <c r="N13" s="19">
        <f t="shared" si="1"/>
        <v>0</v>
      </c>
      <c r="O13" s="11"/>
      <c r="P13" s="2">
        <f>--380674.79</f>
        <v>380674.79</v>
      </c>
      <c r="Q13" s="2"/>
      <c r="R13" s="19"/>
      <c r="S13" s="2"/>
      <c r="T13" s="2"/>
      <c r="U13" s="2"/>
      <c r="V13" s="19"/>
      <c r="W13" s="2"/>
      <c r="X13" s="2">
        <f t="shared" si="2"/>
        <v>380674.79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--11580.95</f>
        <v>11580.95</v>
      </c>
      <c r="E14" s="2"/>
      <c r="F14" s="19"/>
      <c r="G14" s="2"/>
      <c r="H14" s="2"/>
      <c r="I14" s="2"/>
      <c r="J14" s="19"/>
      <c r="K14" s="2"/>
      <c r="L14" s="2">
        <f t="shared" si="0"/>
        <v>11580.95</v>
      </c>
      <c r="M14" s="2"/>
      <c r="N14" s="19">
        <f t="shared" si="1"/>
        <v>0</v>
      </c>
      <c r="O14" s="11"/>
      <c r="P14" s="2">
        <f>--11580.95</f>
        <v>11580.95</v>
      </c>
      <c r="Q14" s="2"/>
      <c r="R14" s="19"/>
      <c r="S14" s="2"/>
      <c r="T14" s="2"/>
      <c r="U14" s="2"/>
      <c r="V14" s="19"/>
      <c r="W14" s="2"/>
      <c r="X14" s="2">
        <f t="shared" si="2"/>
        <v>11580.95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257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>
        <f>D12-D16</f>
        <v>60315.630000000005</v>
      </c>
      <c r="E18" s="14"/>
      <c r="F18" s="20">
        <f>IF(D$12=0,0,D18/D$12)</f>
        <v>1</v>
      </c>
      <c r="G18" s="14"/>
      <c r="H18" s="21">
        <f>H12-H16</f>
        <v>0</v>
      </c>
      <c r="I18" s="14"/>
      <c r="J18" s="20">
        <f>IF(H$12=0,0,H18/H$12)</f>
        <v>0</v>
      </c>
      <c r="K18" s="16"/>
      <c r="L18" s="21">
        <f>+D18-H18</f>
        <v>60315.630000000005</v>
      </c>
      <c r="M18" s="16"/>
      <c r="N18" s="20">
        <f>IF(H18=0,0,L18/H18)</f>
        <v>0</v>
      </c>
      <c r="O18" s="29"/>
      <c r="P18" s="21">
        <f>P12-P16</f>
        <v>392255.74</v>
      </c>
      <c r="Q18" s="14"/>
      <c r="R18" s="20">
        <f>IF(P$12=0,0,P18/P$12)</f>
        <v>1</v>
      </c>
      <c r="S18" s="14"/>
      <c r="T18" s="21">
        <f>T12-T16</f>
        <v>0</v>
      </c>
      <c r="U18" s="14"/>
      <c r="V18" s="20">
        <f>IF(T$12=0,0,T18/T$12)</f>
        <v>0</v>
      </c>
      <c r="W18" s="16"/>
      <c r="X18" s="21">
        <f>+P18-T18</f>
        <v>392255.74</v>
      </c>
      <c r="Y18" s="16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>
        <f>SUM(OSRRefD22x_0)</f>
        <v>0</v>
      </c>
      <c r="E20" s="22"/>
      <c r="F20" s="32">
        <f t="shared" ref="F20:F24" si="4">IF(D$12=0,0,D20/D$12)</f>
        <v>0</v>
      </c>
      <c r="G20" s="22"/>
      <c r="H20" s="22">
        <f>SUM(OSRRefH22x_0)</f>
        <v>0</v>
      </c>
      <c r="I20" s="22"/>
      <c r="J20" s="32">
        <f t="shared" ref="J20:J24" si="5">IF(H$12=0,0,H20/H$12)</f>
        <v>0</v>
      </c>
      <c r="K20" s="4"/>
      <c r="L20" s="22">
        <f t="shared" ref="L20:L24" si="6">+D20-H20</f>
        <v>0</v>
      </c>
      <c r="M20" s="4"/>
      <c r="N20" s="32">
        <f t="shared" ref="N20:N24" si="7">IF(H20=0,0,L20/H20)</f>
        <v>0</v>
      </c>
      <c r="O20" s="10"/>
      <c r="P20" s="22">
        <f>SUM(OSRRefP22x_0)</f>
        <v>349.08000000000004</v>
      </c>
      <c r="Q20" s="22"/>
      <c r="R20" s="32">
        <f t="shared" ref="R20:R24" si="8">IF(P$12=0,0,P20/P$12)</f>
        <v>8.8992961581645699E-4</v>
      </c>
      <c r="S20" s="22"/>
      <c r="T20" s="22">
        <f>SUM(OSRRefT22x_0)</f>
        <v>0</v>
      </c>
      <c r="U20" s="22"/>
      <c r="V20" s="32">
        <f t="shared" ref="V20:V24" si="9">IF(T$12=0,0,T20/T$12)</f>
        <v>0</v>
      </c>
      <c r="W20" s="4"/>
      <c r="X20" s="22">
        <f t="shared" ref="X20:X24" si="10">+P20-T20</f>
        <v>349.08000000000004</v>
      </c>
      <c r="Y20" s="4"/>
      <c r="Z20" s="32">
        <f t="shared" ref="Z20:Z24" si="11">IF(T20=0,0,X20/T20)</f>
        <v>0</v>
      </c>
    </row>
    <row r="21" spans="1:26" s="25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4"/>
        <v>0</v>
      </c>
      <c r="G21" s="1"/>
      <c r="H21" s="1">
        <f>SUM(OSRRefH22_0x_0)</f>
        <v>0</v>
      </c>
      <c r="I21" s="1"/>
      <c r="J21" s="5">
        <f t="shared" si="5"/>
        <v>0</v>
      </c>
      <c r="K21" s="1"/>
      <c r="L21" s="1">
        <f t="shared" si="6"/>
        <v>0</v>
      </c>
      <c r="M21" s="1"/>
      <c r="N21" s="5">
        <f t="shared" si="7"/>
        <v>0</v>
      </c>
      <c r="O21" s="13"/>
      <c r="P21" s="1">
        <f>SUM(OSRRefP22_0x_0)</f>
        <v>7.86</v>
      </c>
      <c r="Q21" s="1"/>
      <c r="R21" s="5">
        <f t="shared" si="8"/>
        <v>2.0037947691982789E-5</v>
      </c>
      <c r="S21" s="1"/>
      <c r="T21" s="1">
        <f>SUM(OSRRefT22_0x_0)</f>
        <v>0</v>
      </c>
      <c r="U21" s="1"/>
      <c r="V21" s="5">
        <f t="shared" si="9"/>
        <v>0</v>
      </c>
      <c r="W21" s="1"/>
      <c r="X21" s="1">
        <f t="shared" si="10"/>
        <v>7.86</v>
      </c>
      <c r="Y21" s="1"/>
      <c r="Z21" s="5">
        <f t="shared" si="11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4"/>
        <v>0</v>
      </c>
      <c r="G22" s="2"/>
      <c r="H22" s="7"/>
      <c r="I22" s="2"/>
      <c r="J22" s="6">
        <f t="shared" si="5"/>
        <v>0</v>
      </c>
      <c r="K22" s="2"/>
      <c r="L22" s="7">
        <f t="shared" si="6"/>
        <v>0</v>
      </c>
      <c r="M22" s="2"/>
      <c r="N22" s="6">
        <f t="shared" si="7"/>
        <v>0</v>
      </c>
      <c r="O22" s="11"/>
      <c r="P22" s="7">
        <v>7.86</v>
      </c>
      <c r="Q22" s="2"/>
      <c r="R22" s="6">
        <f t="shared" si="8"/>
        <v>2.0037947691982789E-5</v>
      </c>
      <c r="S22" s="2"/>
      <c r="T22" s="7"/>
      <c r="U22" s="2"/>
      <c r="V22" s="6">
        <f t="shared" si="9"/>
        <v>0</v>
      </c>
      <c r="W22" s="2"/>
      <c r="X22" s="7">
        <f t="shared" si="10"/>
        <v>7.86</v>
      </c>
      <c r="Y22" s="2"/>
      <c r="Z22" s="6">
        <f t="shared" si="11"/>
        <v>0</v>
      </c>
    </row>
    <row r="23" spans="1:26" s="25" customFormat="1" outlineLevel="1" collapsed="1" x14ac:dyDescent="0.25">
      <c r="A23" s="27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SUM(OSRRefD22_1x_0)</f>
        <v>0</v>
      </c>
      <c r="E23" s="1"/>
      <c r="F23" s="5">
        <f t="shared" si="4"/>
        <v>0</v>
      </c>
      <c r="G23" s="1"/>
      <c r="H23" s="1">
        <f>SUM(OSRRefH22_1x_0)</f>
        <v>0</v>
      </c>
      <c r="I23" s="1"/>
      <c r="J23" s="5">
        <f t="shared" si="5"/>
        <v>0</v>
      </c>
      <c r="K23" s="1"/>
      <c r="L23" s="1">
        <f t="shared" si="6"/>
        <v>0</v>
      </c>
      <c r="M23" s="1"/>
      <c r="N23" s="5">
        <f t="shared" si="7"/>
        <v>0</v>
      </c>
      <c r="O23" s="13"/>
      <c r="P23" s="1">
        <f>SUM(OSRRefP22_1x_0)</f>
        <v>341.22</v>
      </c>
      <c r="Q23" s="1"/>
      <c r="R23" s="5">
        <f t="shared" si="8"/>
        <v>8.6989166812447417E-4</v>
      </c>
      <c r="S23" s="1"/>
      <c r="T23" s="1">
        <f>SUM(OSRRefT22_1x_0)</f>
        <v>0</v>
      </c>
      <c r="U23" s="1"/>
      <c r="V23" s="5">
        <f t="shared" si="9"/>
        <v>0</v>
      </c>
      <c r="W23" s="1"/>
      <c r="X23" s="1">
        <f t="shared" si="10"/>
        <v>341.22</v>
      </c>
      <c r="Y23" s="1"/>
      <c r="Z23" s="5">
        <f t="shared" si="11"/>
        <v>0</v>
      </c>
    </row>
    <row r="24" spans="1:26" s="24" customFormat="1" hidden="1" outlineLevel="2" x14ac:dyDescent="0.25">
      <c r="A24" s="26"/>
      <c r="B24" s="11" t="str">
        <f>CONCATENATE("          ", "6375", " - ", "OUTSIDE REPAIRS &amp; MAINTENANCE")</f>
        <v xml:space="preserve">          6375 - OUTSIDE REPAIRS &amp; MAINTENANCE</v>
      </c>
      <c r="C24" s="11"/>
      <c r="D24" s="7"/>
      <c r="E24" s="2"/>
      <c r="F24" s="6">
        <f t="shared" si="4"/>
        <v>0</v>
      </c>
      <c r="G24" s="2"/>
      <c r="H24" s="7"/>
      <c r="I24" s="2"/>
      <c r="J24" s="6">
        <f t="shared" si="5"/>
        <v>0</v>
      </c>
      <c r="K24" s="2"/>
      <c r="L24" s="7">
        <f t="shared" si="6"/>
        <v>0</v>
      </c>
      <c r="M24" s="2"/>
      <c r="N24" s="6">
        <f t="shared" si="7"/>
        <v>0</v>
      </c>
      <c r="O24" s="11"/>
      <c r="P24" s="7">
        <v>341.22</v>
      </c>
      <c r="Q24" s="2"/>
      <c r="R24" s="6">
        <f t="shared" si="8"/>
        <v>8.6989166812447417E-4</v>
      </c>
      <c r="S24" s="2"/>
      <c r="T24" s="7"/>
      <c r="U24" s="2"/>
      <c r="V24" s="6">
        <f t="shared" si="9"/>
        <v>0</v>
      </c>
      <c r="W24" s="2"/>
      <c r="X24" s="7">
        <f t="shared" si="10"/>
        <v>341.22</v>
      </c>
      <c r="Y24" s="2"/>
      <c r="Z24" s="6">
        <f t="shared" si="11"/>
        <v>0</v>
      </c>
    </row>
    <row r="25" spans="1:26" s="61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277</v>
      </c>
      <c r="C28" s="28"/>
      <c r="D28" s="21">
        <f>+D18-D20+D26</f>
        <v>60315.630000000005</v>
      </c>
      <c r="E28" s="14"/>
      <c r="F28" s="20">
        <f>IF(D$12=0,0,D28/D$12)</f>
        <v>1</v>
      </c>
      <c r="G28" s="14"/>
      <c r="H28" s="21">
        <f>+H18-H20+H26</f>
        <v>0</v>
      </c>
      <c r="I28" s="14"/>
      <c r="J28" s="20">
        <f>IF(H$12=0,0,H28/H$12)</f>
        <v>0</v>
      </c>
      <c r="K28" s="16"/>
      <c r="L28" s="21">
        <f>+D28-H28</f>
        <v>60315.630000000005</v>
      </c>
      <c r="M28" s="16"/>
      <c r="N28" s="20">
        <f>IF(H28=0,0,L28/H28)</f>
        <v>0</v>
      </c>
      <c r="O28" s="29"/>
      <c r="P28" s="21">
        <f>+P18-P20+P26</f>
        <v>391906.66</v>
      </c>
      <c r="Q28" s="14"/>
      <c r="R28" s="20">
        <f>IF(P$12=0,0,P28/P$12)</f>
        <v>0.99911007038418354</v>
      </c>
      <c r="S28" s="14"/>
      <c r="T28" s="21">
        <f>+T18-T20+T26</f>
        <v>0</v>
      </c>
      <c r="U28" s="14"/>
      <c r="V28" s="20">
        <f>IF(T$12=0,0,T28/T$12)</f>
        <v>0</v>
      </c>
      <c r="W28" s="16"/>
      <c r="X28" s="21">
        <f>+P28-T28</f>
        <v>391906.66</v>
      </c>
      <c r="Y28" s="16"/>
      <c r="Z28" s="20">
        <f>IF(T28=0,0,X28/T28)</f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128</v>
      </c>
      <c r="C30" s="10"/>
      <c r="D30" s="4">
        <v>13651.45</v>
      </c>
      <c r="E30" s="4"/>
      <c r="F30" s="12">
        <f>IF(D$12=0,0,D30/D$12)</f>
        <v>0.22633353908431364</v>
      </c>
      <c r="G30" s="4"/>
      <c r="H30" s="4"/>
      <c r="I30" s="4"/>
      <c r="J30" s="12">
        <f>IF(H$12=0,0,H30/H$12)</f>
        <v>0</v>
      </c>
      <c r="K30" s="4"/>
      <c r="L30" s="4">
        <f>+D30-H30</f>
        <v>13651.45</v>
      </c>
      <c r="M30" s="4"/>
      <c r="N30" s="12">
        <f>IF(H30=0,0,L30/H30)</f>
        <v>0</v>
      </c>
      <c r="O30" s="10"/>
      <c r="P30" s="4">
        <v>82061.490000000005</v>
      </c>
      <c r="Q30" s="4"/>
      <c r="R30" s="12">
        <f>IF(P$12=0,0,P30/P$12)</f>
        <v>0.20920405141808762</v>
      </c>
      <c r="S30" s="4"/>
      <c r="T30" s="4"/>
      <c r="U30" s="4"/>
      <c r="V30" s="12">
        <f>IF(T$12=0,0,T30/T$12)</f>
        <v>0</v>
      </c>
      <c r="W30" s="4"/>
      <c r="X30" s="4">
        <f>+P30-T30</f>
        <v>82061.490000000005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126</v>
      </c>
      <c r="C32" s="28"/>
      <c r="D32" s="31">
        <f>+D28-D30</f>
        <v>46664.180000000008</v>
      </c>
      <c r="E32" s="14"/>
      <c r="F32" s="33">
        <f>IF(D$12=0,0,D32/D$12)</f>
        <v>0.77366646091568647</v>
      </c>
      <c r="G32" s="14"/>
      <c r="H32" s="31">
        <f>+H28-H30</f>
        <v>0</v>
      </c>
      <c r="I32" s="14"/>
      <c r="J32" s="33">
        <f>IF(H$12=0,0,H32/H$12)</f>
        <v>0</v>
      </c>
      <c r="K32" s="16"/>
      <c r="L32" s="31">
        <f>D32-H32</f>
        <v>46664.180000000008</v>
      </c>
      <c r="M32" s="16"/>
      <c r="N32" s="33">
        <f>IF(H32=0,0,L32/H32)</f>
        <v>0</v>
      </c>
      <c r="O32" s="29"/>
      <c r="P32" s="31">
        <f>+P28-P30</f>
        <v>309845.17</v>
      </c>
      <c r="Q32" s="14"/>
      <c r="R32" s="33">
        <f>IF(P$12=0,0,P32/P$12)</f>
        <v>0.78990601896609591</v>
      </c>
      <c r="S32" s="14"/>
      <c r="T32" s="31">
        <f>+T28-T30</f>
        <v>0</v>
      </c>
      <c r="U32" s="14"/>
      <c r="V32" s="33">
        <f>IF(T$12=0,0,T32/T$12)</f>
        <v>0</v>
      </c>
      <c r="W32" s="16"/>
      <c r="X32" s="31">
        <f>P32-T32</f>
        <v>309845.17</v>
      </c>
      <c r="Y32" s="16"/>
      <c r="Z32" s="33">
        <f>IF(T32=0,0,X32/T32)</f>
        <v>0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294</v>
      </c>
      <c r="C35" s="28"/>
      <c r="D35" s="34">
        <f>SUM(D32:D34)</f>
        <v>46664.180000000008</v>
      </c>
      <c r="E35" s="14"/>
      <c r="F35" s="35">
        <f>IF(D$12=0,0,D35/D$12)</f>
        <v>0.77366646091568647</v>
      </c>
      <c r="G35" s="14"/>
      <c r="H35" s="34">
        <f>SUM(H32:H34)</f>
        <v>0</v>
      </c>
      <c r="I35" s="14"/>
      <c r="J35" s="35">
        <f>IF(H$12=0,0,H35/H$12)</f>
        <v>0</v>
      </c>
      <c r="K35" s="16"/>
      <c r="L35" s="34">
        <f>+D35-H35</f>
        <v>46664.180000000008</v>
      </c>
      <c r="M35" s="16"/>
      <c r="N35" s="35">
        <f>IF(H35=0,0,L35/H35)</f>
        <v>0</v>
      </c>
      <c r="O35" s="29"/>
      <c r="P35" s="34">
        <f>SUM(P32:P34)</f>
        <v>309845.17</v>
      </c>
      <c r="Q35" s="14"/>
      <c r="R35" s="35">
        <f>IF(P$12=0,0,P35/P$12)</f>
        <v>0.78990601896609591</v>
      </c>
      <c r="S35" s="14"/>
      <c r="T35" s="34">
        <f>SUM(T32:T34)</f>
        <v>0</v>
      </c>
      <c r="U35" s="14"/>
      <c r="V35" s="35">
        <f>IF(T$12=0,0,T35/T$12)</f>
        <v>0</v>
      </c>
      <c r="W35" s="16"/>
      <c r="X35" s="34">
        <f>+P35-T35</f>
        <v>309845.17</v>
      </c>
      <c r="Y35" s="16"/>
      <c r="Z35" s="35">
        <f>IF(T35=0,0,X35/T35)</f>
        <v>0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62">
        <v>44330.0058283912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","423", " - ", "Contract/Vending Revenue")</f>
        <v>Department 423 - Contract/Vending Revenue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-107.75</v>
      </c>
      <c r="E18" s="22"/>
      <c r="F18" s="32">
        <f t="shared" ref="F18:F27" si="0">IF(D$12=0,0,D18/D$12)</f>
        <v>0</v>
      </c>
      <c r="G18" s="22"/>
      <c r="H18" s="22">
        <f>SUM(OSRRefH22x_0)</f>
        <v>17627.026634615377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-17734.776634615377</v>
      </c>
      <c r="M18" s="4"/>
      <c r="N18" s="32">
        <f t="shared" ref="N18:N27" si="3">IF(H18=0,0,L18/H18)</f>
        <v>-1.0061127722918626</v>
      </c>
      <c r="O18" s="10"/>
      <c r="P18" s="22">
        <f>SUM(OSRRefP22x_0)</f>
        <v>3180.9900000000002</v>
      </c>
      <c r="Q18" s="22"/>
      <c r="R18" s="32">
        <f t="shared" ref="R18:R27" si="4">IF(P$12=0,0,P18/P$12)</f>
        <v>0</v>
      </c>
      <c r="S18" s="22"/>
      <c r="T18" s="22">
        <f>SUM(OSRRefT22x_0)</f>
        <v>160319.83438461582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-157138.84438461583</v>
      </c>
      <c r="Y18" s="4"/>
      <c r="Z18" s="32">
        <f t="shared" ref="Z18:Z27" si="7">IF(T18=0,0,X18/T18)</f>
        <v>-0.98015847501208975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5099.1420192307769</v>
      </c>
      <c r="I19" s="1"/>
      <c r="J19" s="5">
        <f t="shared" si="1"/>
        <v>0</v>
      </c>
      <c r="K19" s="1"/>
      <c r="L19" s="1">
        <f t="shared" si="2"/>
        <v>-5099.1420192307769</v>
      </c>
      <c r="M19" s="1"/>
      <c r="N19" s="5">
        <f t="shared" si="3"/>
        <v>-1</v>
      </c>
      <c r="O19" s="13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46534.449769230836</v>
      </c>
      <c r="U19" s="1"/>
      <c r="V19" s="5">
        <f t="shared" si="5"/>
        <v>0</v>
      </c>
      <c r="W19" s="1"/>
      <c r="X19" s="1">
        <f t="shared" si="6"/>
        <v>-44055.719769230833</v>
      </c>
      <c r="Y19" s="1"/>
      <c r="Z19" s="5">
        <f t="shared" si="7"/>
        <v>-0.94673344130440384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1058.9102884615399</v>
      </c>
      <c r="I20" s="2"/>
      <c r="J20" s="6">
        <f t="shared" si="1"/>
        <v>0</v>
      </c>
      <c r="K20" s="2"/>
      <c r="L20" s="7">
        <f t="shared" si="2"/>
        <v>-1058.9102884615399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9318.4105384615505</v>
      </c>
      <c r="U20" s="2"/>
      <c r="V20" s="6">
        <f t="shared" si="5"/>
        <v>0</v>
      </c>
      <c r="W20" s="2"/>
      <c r="X20" s="7">
        <f t="shared" si="6"/>
        <v>-9318.4105384615505</v>
      </c>
      <c r="Y20" s="2"/>
      <c r="Z20" s="6">
        <f t="shared" si="7"/>
        <v>-1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45.660576923076903</v>
      </c>
      <c r="I21" s="2"/>
      <c r="J21" s="6">
        <f t="shared" si="1"/>
        <v>0</v>
      </c>
      <c r="K21" s="2"/>
      <c r="L21" s="7">
        <f t="shared" si="2"/>
        <v>-45.660576923076903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401.81307692307701</v>
      </c>
      <c r="U21" s="2"/>
      <c r="V21" s="6">
        <f t="shared" si="5"/>
        <v>0</v>
      </c>
      <c r="W21" s="2"/>
      <c r="X21" s="7">
        <f t="shared" si="6"/>
        <v>-401.81307692307701</v>
      </c>
      <c r="Y21" s="2"/>
      <c r="Z21" s="6">
        <f t="shared" si="7"/>
        <v>-1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13850</v>
      </c>
      <c r="U22" s="2"/>
      <c r="V22" s="6">
        <f t="shared" si="5"/>
        <v>0</v>
      </c>
      <c r="W22" s="2"/>
      <c r="X22" s="7">
        <f t="shared" si="6"/>
        <v>-11981.8</v>
      </c>
      <c r="Y22" s="2"/>
      <c r="Z22" s="6">
        <f t="shared" si="7"/>
        <v>-0.86511191335740067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35.975000000000001</v>
      </c>
      <c r="I23" s="2"/>
      <c r="J23" s="6">
        <f t="shared" si="1"/>
        <v>0</v>
      </c>
      <c r="K23" s="2"/>
      <c r="L23" s="7">
        <f t="shared" si="2"/>
        <v>-35.975000000000001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316.58</v>
      </c>
      <c r="U23" s="2"/>
      <c r="V23" s="6">
        <f t="shared" si="5"/>
        <v>0</v>
      </c>
      <c r="W23" s="2"/>
      <c r="X23" s="7">
        <f t="shared" si="6"/>
        <v>-316.58</v>
      </c>
      <c r="Y23" s="2"/>
      <c r="Z23" s="6">
        <f t="shared" si="7"/>
        <v>-1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1189.9423076923099</v>
      </c>
      <c r="I24" s="2"/>
      <c r="J24" s="6">
        <f t="shared" si="1"/>
        <v>0</v>
      </c>
      <c r="K24" s="2"/>
      <c r="L24" s="7">
        <f t="shared" si="2"/>
        <v>-1189.9423076923099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10471.492307692301</v>
      </c>
      <c r="U24" s="2"/>
      <c r="V24" s="6">
        <f t="shared" si="5"/>
        <v>0</v>
      </c>
      <c r="W24" s="2"/>
      <c r="X24" s="7">
        <f t="shared" si="6"/>
        <v>-9860.9623076922999</v>
      </c>
      <c r="Y24" s="2"/>
      <c r="Z24" s="6">
        <f t="shared" si="7"/>
        <v>-0.94169598925728015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1383.6538461538501</v>
      </c>
      <c r="I26" s="2"/>
      <c r="J26" s="6">
        <f t="shared" si="1"/>
        <v>0</v>
      </c>
      <c r="K26" s="2"/>
      <c r="L26" s="7">
        <f t="shared" si="2"/>
        <v>-1383.6538461538501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12176.1538461539</v>
      </c>
      <c r="U26" s="2"/>
      <c r="V26" s="6">
        <f t="shared" si="5"/>
        <v>0</v>
      </c>
      <c r="W26" s="2"/>
      <c r="X26" s="7">
        <f t="shared" si="6"/>
        <v>-12176.1538461539</v>
      </c>
      <c r="Y26" s="2"/>
      <c r="Z26" s="6">
        <f t="shared" si="7"/>
        <v>-1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12452.884615384601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-12452.884615384601</v>
      </c>
      <c r="M28" s="1"/>
      <c r="N28" s="5">
        <f t="shared" ref="N28:N38" si="11">IF(H28=0,0,L28/H28)</f>
        <v>-1</v>
      </c>
      <c r="O28" s="13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109585.384615385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-109585.384615385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12452.884615384601</v>
      </c>
      <c r="I29" s="2"/>
      <c r="J29" s="6">
        <f t="shared" si="9"/>
        <v>0</v>
      </c>
      <c r="K29" s="2"/>
      <c r="L29" s="7">
        <f t="shared" si="10"/>
        <v>-12452.884615384601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109585.384615385</v>
      </c>
      <c r="U29" s="2"/>
      <c r="V29" s="6">
        <f t="shared" si="13"/>
        <v>0</v>
      </c>
      <c r="W29" s="2"/>
      <c r="X29" s="7">
        <f t="shared" si="14"/>
        <v>-109585.384615385</v>
      </c>
      <c r="Y29" s="2"/>
      <c r="Z29" s="6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5" customFormat="1" outlineLevel="1" collapsed="1" x14ac:dyDescent="0.25">
      <c r="A39" s="27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3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5" customFormat="1" outlineLevel="1" collapsed="1" x14ac:dyDescent="0.25">
      <c r="A41" s="27"/>
      <c r="B41" s="13" t="str">
        <f>CONCATENATE("     ","Services                                          ")</f>
        <v xml:space="preserve">     Services                                          </v>
      </c>
      <c r="C41" s="13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25">
      <c r="A43" s="26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5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6.25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-18.75</v>
      </c>
      <c r="M44" s="1"/>
      <c r="N44" s="5">
        <f t="shared" ref="N44:N49" si="27">IF(H44=0,0,L44/H44)</f>
        <v>-0.75</v>
      </c>
      <c r="O44" s="13"/>
      <c r="P44" s="1">
        <f>SUM(OSRRefP22_4x_0)</f>
        <v>3.26</v>
      </c>
      <c r="Q44" s="1"/>
      <c r="R44" s="5">
        <f t="shared" ref="R44:R49" si="28">IF(P$12=0,0,P44/P$12)</f>
        <v>0</v>
      </c>
      <c r="S44" s="1"/>
      <c r="T44" s="1">
        <f>SUM(OSRRefT22_4x_0)</f>
        <v>250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-246.74</v>
      </c>
      <c r="Y44" s="1"/>
      <c r="Z44" s="5">
        <f t="shared" ref="Z44:Z49" si="31">IF(T44=0,0,X44/T44)</f>
        <v>-0.98696000000000006</v>
      </c>
    </row>
    <row r="45" spans="1:26" s="24" customFormat="1" hidden="1" outlineLevel="2" x14ac:dyDescent="0.25">
      <c r="A45" s="26"/>
      <c r="B45" s="11" t="str">
        <f>CONCATENATE("          ", "6241", " - ", "OFFICE EXPENSE")</f>
        <v xml:space="preserve">          6241 - OFFICE EXPENSE</v>
      </c>
      <c r="C45" s="11"/>
      <c r="D45" s="7">
        <v>6.25</v>
      </c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-18.75</v>
      </c>
      <c r="M45" s="2"/>
      <c r="N45" s="6">
        <f t="shared" si="27"/>
        <v>-0.75</v>
      </c>
      <c r="O45" s="11"/>
      <c r="P45" s="7">
        <v>3.26</v>
      </c>
      <c r="Q45" s="2"/>
      <c r="R45" s="6">
        <f t="shared" si="28"/>
        <v>0</v>
      </c>
      <c r="S45" s="2"/>
      <c r="T45" s="7">
        <v>250</v>
      </c>
      <c r="U45" s="2"/>
      <c r="V45" s="6">
        <f t="shared" si="29"/>
        <v>0</v>
      </c>
      <c r="W45" s="2"/>
      <c r="X45" s="7">
        <f t="shared" si="30"/>
        <v>-246.74</v>
      </c>
      <c r="Y45" s="2"/>
      <c r="Z45" s="6">
        <f t="shared" si="31"/>
        <v>-0.98696000000000006</v>
      </c>
    </row>
    <row r="46" spans="1:26" s="25" customFormat="1" outlineLevel="1" collapsed="1" x14ac:dyDescent="0.25">
      <c r="A46" s="27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SUM(OSRRefD22_5x_0)</f>
        <v>-114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-164</v>
      </c>
      <c r="M46" s="1"/>
      <c r="N46" s="5">
        <f t="shared" si="27"/>
        <v>-3.28</v>
      </c>
      <c r="O46" s="13"/>
      <c r="P46" s="1">
        <f>SUM(OSRRefP22_5x_0)</f>
        <v>699</v>
      </c>
      <c r="Q46" s="1"/>
      <c r="R46" s="5">
        <f t="shared" si="28"/>
        <v>0</v>
      </c>
      <c r="S46" s="1"/>
      <c r="T46" s="1">
        <f>SUM(OSRRefT22_5x_0)</f>
        <v>950</v>
      </c>
      <c r="U46" s="1"/>
      <c r="V46" s="5">
        <f t="shared" si="29"/>
        <v>0</v>
      </c>
      <c r="W46" s="1"/>
      <c r="X46" s="1">
        <f t="shared" si="30"/>
        <v>-251</v>
      </c>
      <c r="Y46" s="1"/>
      <c r="Z46" s="5">
        <f t="shared" si="31"/>
        <v>-0.26421052631578945</v>
      </c>
    </row>
    <row r="47" spans="1:26" s="24" customFormat="1" hidden="1" outlineLevel="2" x14ac:dyDescent="0.25">
      <c r="A47" s="26"/>
      <c r="B47" s="11" t="str">
        <f>CONCATENATE("          ", "6309", " - ", "TELEPHONE")</f>
        <v xml:space="preserve">          6309 - TELEPHONE</v>
      </c>
      <c r="C47" s="11"/>
      <c r="D47" s="7">
        <v>-114</v>
      </c>
      <c r="E47" s="2"/>
      <c r="F47" s="6">
        <f t="shared" si="24"/>
        <v>0</v>
      </c>
      <c r="G47" s="2"/>
      <c r="H47" s="7">
        <v>50</v>
      </c>
      <c r="I47" s="2"/>
      <c r="J47" s="6">
        <f t="shared" si="25"/>
        <v>0</v>
      </c>
      <c r="K47" s="2"/>
      <c r="L47" s="7">
        <f t="shared" si="26"/>
        <v>-164</v>
      </c>
      <c r="M47" s="2"/>
      <c r="N47" s="6">
        <f t="shared" si="27"/>
        <v>-3.28</v>
      </c>
      <c r="O47" s="11"/>
      <c r="P47" s="7">
        <v>699</v>
      </c>
      <c r="Q47" s="2"/>
      <c r="R47" s="6">
        <f t="shared" si="28"/>
        <v>0</v>
      </c>
      <c r="S47" s="2"/>
      <c r="T47" s="7">
        <v>950</v>
      </c>
      <c r="U47" s="2"/>
      <c r="V47" s="6">
        <f t="shared" si="29"/>
        <v>0</v>
      </c>
      <c r="W47" s="2"/>
      <c r="X47" s="7">
        <f t="shared" si="30"/>
        <v>-251</v>
      </c>
      <c r="Y47" s="2"/>
      <c r="Z47" s="6">
        <f t="shared" si="31"/>
        <v>-0.26421052631578945</v>
      </c>
    </row>
    <row r="48" spans="1:26" s="25" customFormat="1" outlineLevel="1" collapsed="1" x14ac:dyDescent="0.25">
      <c r="A48" s="27"/>
      <c r="B48" s="13" t="str">
        <f>CONCATENATE("     ","Utilities                                         ")</f>
        <v xml:space="preserve">     Utilities                                         </v>
      </c>
      <c r="C48" s="13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6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61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9" t="s">
        <v>293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12296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-12296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63687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-63687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44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19">
        <f t="shared" si="32"/>
        <v>0</v>
      </c>
      <c r="G52" s="2"/>
      <c r="H52" s="2">
        <v>3862</v>
      </c>
      <c r="I52" s="2"/>
      <c r="J52" s="19">
        <f t="shared" si="33"/>
        <v>0</v>
      </c>
      <c r="K52" s="2"/>
      <c r="L52" s="2">
        <f t="shared" si="34"/>
        <v>-3862</v>
      </c>
      <c r="M52" s="2"/>
      <c r="N52" s="19">
        <f t="shared" si="35"/>
        <v>-1</v>
      </c>
      <c r="O52" s="11"/>
      <c r="P52" s="2">
        <f t="shared" ref="P52:P54" si="41">0</f>
        <v>0</v>
      </c>
      <c r="Q52" s="2"/>
      <c r="R52" s="19">
        <f t="shared" si="36"/>
        <v>0</v>
      </c>
      <c r="S52" s="2"/>
      <c r="T52" s="2">
        <v>23504</v>
      </c>
      <c r="U52" s="2"/>
      <c r="V52" s="19">
        <f t="shared" si="37"/>
        <v>0</v>
      </c>
      <c r="W52" s="2"/>
      <c r="X52" s="2">
        <f t="shared" si="38"/>
        <v>-23504</v>
      </c>
      <c r="Y52" s="2"/>
      <c r="Z52" s="19">
        <f t="shared" si="39"/>
        <v>-1</v>
      </c>
    </row>
    <row r="53" spans="1:26" s="24" customFormat="1" hidden="1" outlineLevel="1" x14ac:dyDescent="0.25">
      <c r="A53" s="44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19">
        <f t="shared" si="32"/>
        <v>0</v>
      </c>
      <c r="G53" s="2"/>
      <c r="H53" s="2">
        <v>7070</v>
      </c>
      <c r="I53" s="2"/>
      <c r="J53" s="19">
        <f t="shared" si="33"/>
        <v>0</v>
      </c>
      <c r="K53" s="2"/>
      <c r="L53" s="2">
        <f t="shared" si="34"/>
        <v>-7070</v>
      </c>
      <c r="M53" s="2"/>
      <c r="N53" s="19">
        <f t="shared" si="35"/>
        <v>-1</v>
      </c>
      <c r="O53" s="11"/>
      <c r="P53" s="2">
        <f t="shared" si="41"/>
        <v>0</v>
      </c>
      <c r="Q53" s="2"/>
      <c r="R53" s="19">
        <f t="shared" si="36"/>
        <v>0</v>
      </c>
      <c r="S53" s="2"/>
      <c r="T53" s="2">
        <v>29368</v>
      </c>
      <c r="U53" s="2"/>
      <c r="V53" s="19">
        <f t="shared" si="37"/>
        <v>0</v>
      </c>
      <c r="W53" s="2"/>
      <c r="X53" s="2">
        <f t="shared" si="38"/>
        <v>-29368</v>
      </c>
      <c r="Y53" s="2"/>
      <c r="Z53" s="19">
        <f t="shared" si="39"/>
        <v>-1</v>
      </c>
    </row>
    <row r="54" spans="1:26" s="24" customFormat="1" hidden="1" outlineLevel="1" x14ac:dyDescent="0.25">
      <c r="A54" s="44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19">
        <f t="shared" si="32"/>
        <v>0</v>
      </c>
      <c r="G54" s="2"/>
      <c r="H54" s="2">
        <v>1364</v>
      </c>
      <c r="I54" s="2"/>
      <c r="J54" s="19">
        <f t="shared" si="33"/>
        <v>0</v>
      </c>
      <c r="K54" s="2"/>
      <c r="L54" s="2">
        <f t="shared" si="34"/>
        <v>-1364</v>
      </c>
      <c r="M54" s="2"/>
      <c r="N54" s="19">
        <f t="shared" si="35"/>
        <v>-1</v>
      </c>
      <c r="O54" s="11"/>
      <c r="P54" s="2">
        <f t="shared" si="41"/>
        <v>0</v>
      </c>
      <c r="Q54" s="2"/>
      <c r="R54" s="19">
        <f t="shared" si="36"/>
        <v>0</v>
      </c>
      <c r="S54" s="2"/>
      <c r="T54" s="2">
        <v>10815</v>
      </c>
      <c r="U54" s="2"/>
      <c r="V54" s="19">
        <f t="shared" si="37"/>
        <v>0</v>
      </c>
      <c r="W54" s="2"/>
      <c r="X54" s="2">
        <f t="shared" si="38"/>
        <v>-10815</v>
      </c>
      <c r="Y54" s="2"/>
      <c r="Z54" s="19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277</v>
      </c>
      <c r="C56" s="28"/>
      <c r="D56" s="21">
        <f>+D16-D18+D51</f>
        <v>107.75</v>
      </c>
      <c r="E56" s="14"/>
      <c r="F56" s="20">
        <f>IF(D$12=0,0,D56/D$12)</f>
        <v>0</v>
      </c>
      <c r="G56" s="14"/>
      <c r="H56" s="21">
        <f>+H16-H18+H51</f>
        <v>-5331.0266346153767</v>
      </c>
      <c r="I56" s="14"/>
      <c r="J56" s="20">
        <f>IF(H$12=0,0,H56/H$12)</f>
        <v>0</v>
      </c>
      <c r="K56" s="16"/>
      <c r="L56" s="21">
        <f>+D56-H56</f>
        <v>5438.7766346153767</v>
      </c>
      <c r="M56" s="16"/>
      <c r="N56" s="20">
        <f>IF(H56=0,0,L56/H56)</f>
        <v>-1.0202118667538367</v>
      </c>
      <c r="O56" s="29"/>
      <c r="P56" s="21">
        <f>+P16-P18+P51</f>
        <v>-3180.9900000000002</v>
      </c>
      <c r="Q56" s="14"/>
      <c r="R56" s="20">
        <f>IF(P$12=0,0,P56/P$12)</f>
        <v>0</v>
      </c>
      <c r="S56" s="14"/>
      <c r="T56" s="21">
        <f>+T16-T18+T51</f>
        <v>-96632.834384615824</v>
      </c>
      <c r="U56" s="14"/>
      <c r="V56" s="20">
        <f>IF(T$12=0,0,T56/T$12)</f>
        <v>0</v>
      </c>
      <c r="W56" s="16"/>
      <c r="X56" s="21">
        <f>+P56-T56</f>
        <v>93451.844384615819</v>
      </c>
      <c r="Y56" s="16"/>
      <c r="Z56" s="20">
        <f>IF(T56=0,0,X56/T56)</f>
        <v>-0.96708168584459497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128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126</v>
      </c>
      <c r="C60" s="28"/>
      <c r="D60" s="31">
        <f>+D56-D58</f>
        <v>107.75</v>
      </c>
      <c r="E60" s="14"/>
      <c r="F60" s="33">
        <f>IF(D$12=0,0,D60/D$12)</f>
        <v>0</v>
      </c>
      <c r="G60" s="14"/>
      <c r="H60" s="31">
        <f>+H56-H58</f>
        <v>-5331.0266346153767</v>
      </c>
      <c r="I60" s="14"/>
      <c r="J60" s="33">
        <f>IF(H$12=0,0,H60/H$12)</f>
        <v>0</v>
      </c>
      <c r="K60" s="16"/>
      <c r="L60" s="31">
        <f>D60-H60</f>
        <v>5438.7766346153767</v>
      </c>
      <c r="M60" s="16"/>
      <c r="N60" s="33">
        <f>IF(H60=0,0,L60/H60)</f>
        <v>-1.0202118667538367</v>
      </c>
      <c r="O60" s="29"/>
      <c r="P60" s="31">
        <f>+P56-P58</f>
        <v>-3180.9900000000002</v>
      </c>
      <c r="Q60" s="14"/>
      <c r="R60" s="33">
        <f>IF(P$12=0,0,P60/P$12)</f>
        <v>0</v>
      </c>
      <c r="S60" s="14"/>
      <c r="T60" s="31">
        <f>+T56-T58</f>
        <v>-96632.834384615824</v>
      </c>
      <c r="U60" s="14"/>
      <c r="V60" s="33">
        <f>IF(T$12=0,0,T60/T$12)</f>
        <v>0</v>
      </c>
      <c r="W60" s="16"/>
      <c r="X60" s="31">
        <f>P60-T60</f>
        <v>93451.844384615819</v>
      </c>
      <c r="Y60" s="16"/>
      <c r="Z60" s="33">
        <f>IF(T60=0,0,X60/T60)</f>
        <v>-0.96708168584459497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8" t="s">
        <v>294</v>
      </c>
      <c r="C63" s="28"/>
      <c r="D63" s="34">
        <f>SUM(D60:D62)</f>
        <v>107.75</v>
      </c>
      <c r="E63" s="14"/>
      <c r="F63" s="35">
        <f>IF(D$12=0,0,D63/D$12)</f>
        <v>0</v>
      </c>
      <c r="G63" s="14"/>
      <c r="H63" s="34">
        <f>SUM(H60:H62)</f>
        <v>-5331.0266346153767</v>
      </c>
      <c r="I63" s="14"/>
      <c r="J63" s="35">
        <f>IF(H$12=0,0,H63/H$12)</f>
        <v>0</v>
      </c>
      <c r="K63" s="16"/>
      <c r="L63" s="34">
        <f>+D63-H63</f>
        <v>5438.7766346153767</v>
      </c>
      <c r="M63" s="16"/>
      <c r="N63" s="35">
        <f>IF(H63=0,0,L63/H63)</f>
        <v>-1.0202118667538367</v>
      </c>
      <c r="O63" s="29"/>
      <c r="P63" s="34">
        <f>SUM(P60:P62)</f>
        <v>-3180.9900000000002</v>
      </c>
      <c r="Q63" s="14"/>
      <c r="R63" s="35">
        <f>IF(P$12=0,0,P63/P$12)</f>
        <v>0</v>
      </c>
      <c r="S63" s="14"/>
      <c r="T63" s="34">
        <f>SUM(T60:T62)</f>
        <v>-96632.834384615824</v>
      </c>
      <c r="U63" s="14"/>
      <c r="V63" s="35">
        <f>IF(T$12=0,0,T63/T$12)</f>
        <v>0</v>
      </c>
      <c r="W63" s="16"/>
      <c r="X63" s="34">
        <f>+P63-T63</f>
        <v>93451.844384615819</v>
      </c>
      <c r="Y63" s="16"/>
      <c r="Z63" s="35">
        <f>IF(T63=0,0,X63/T63)</f>
        <v>-0.96708168584459497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2">
        <v>44330.0058283912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6" t="s">
        <v>56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5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479.29</v>
      </c>
      <c r="E18" s="22"/>
      <c r="F18" s="32">
        <f t="shared" ref="F18:F26" si="0">IF(D$12=0,0,D18/D$12)</f>
        <v>0</v>
      </c>
      <c r="G18" s="22"/>
      <c r="H18" s="22">
        <f>SUM(OSRRefH22x_0)</f>
        <v>479</v>
      </c>
      <c r="I18" s="22"/>
      <c r="J18" s="32">
        <f t="shared" ref="J18:J26" si="1">IF(H$12=0,0,H18/H$12)</f>
        <v>0</v>
      </c>
      <c r="K18" s="4"/>
      <c r="L18" s="22">
        <f t="shared" ref="L18:L26" si="2">+D18-H18</f>
        <v>0.29000000000002046</v>
      </c>
      <c r="M18" s="4"/>
      <c r="N18" s="32">
        <f t="shared" ref="N18:N26" si="3">IF(H18=0,0,L18/H18)</f>
        <v>6.054279749478506E-4</v>
      </c>
      <c r="O18" s="10"/>
      <c r="P18" s="22">
        <f>SUM(OSRRefP22x_0)</f>
        <v>6353.79</v>
      </c>
      <c r="Q18" s="22"/>
      <c r="R18" s="32">
        <f t="shared" ref="R18:R26" si="4">IF(P$12=0,0,P18/P$12)</f>
        <v>0</v>
      </c>
      <c r="S18" s="22"/>
      <c r="T18" s="22">
        <f>SUM(OSRRefT22x_0)</f>
        <v>4790</v>
      </c>
      <c r="U18" s="22"/>
      <c r="V18" s="32">
        <f t="shared" ref="V18:V26" si="5">IF(T$12=0,0,T18/T$12)</f>
        <v>0</v>
      </c>
      <c r="W18" s="4"/>
      <c r="X18" s="22">
        <f t="shared" ref="X18:X26" si="6">+P18-T18</f>
        <v>1563.79</v>
      </c>
      <c r="Y18" s="4"/>
      <c r="Z18" s="32">
        <f t="shared" ref="Z18:Z26" si="7">IF(T18=0,0,X18/T18)</f>
        <v>0.32646972860125262</v>
      </c>
    </row>
    <row r="19" spans="1:26" s="25" customFormat="1" outlineLevel="1" collapsed="1" x14ac:dyDescent="0.25">
      <c r="A19" s="27"/>
      <c r="B19" s="13" t="str">
        <f>CONCATENATE("     ","Depreciation                                      ")</f>
        <v xml:space="preserve">     Depreciation                                      </v>
      </c>
      <c r="C19" s="13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3"/>
      <c r="P19" s="1">
        <f>SUM(OSRRefP22_0x_0)</f>
        <v>4792.8999999999996</v>
      </c>
      <c r="Q19" s="1"/>
      <c r="R19" s="5">
        <f t="shared" si="4"/>
        <v>0</v>
      </c>
      <c r="S19" s="1"/>
      <c r="T19" s="1">
        <f>SUM(OSRRefT22_0x_0)</f>
        <v>4790</v>
      </c>
      <c r="U19" s="1"/>
      <c r="V19" s="5">
        <f t="shared" si="5"/>
        <v>0</v>
      </c>
      <c r="W19" s="1"/>
      <c r="X19" s="1">
        <f t="shared" si="6"/>
        <v>2.8999999999996362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6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4792.8999999999996</v>
      </c>
      <c r="Q20" s="2"/>
      <c r="R20" s="6">
        <f t="shared" si="4"/>
        <v>0</v>
      </c>
      <c r="S20" s="2"/>
      <c r="T20" s="7">
        <v>4790</v>
      </c>
      <c r="U20" s="2"/>
      <c r="V20" s="6">
        <f t="shared" si="5"/>
        <v>0</v>
      </c>
      <c r="W20" s="2"/>
      <c r="X20" s="7">
        <f t="shared" si="6"/>
        <v>2.8999999999996362</v>
      </c>
      <c r="Y20" s="2"/>
      <c r="Z20" s="6">
        <f t="shared" si="7"/>
        <v>6.0542797494773199E-4</v>
      </c>
    </row>
    <row r="21" spans="1:26" s="25" customFormat="1" outlineLevel="1" collapsed="1" x14ac:dyDescent="0.25">
      <c r="A21" s="27"/>
      <c r="B21" s="13" t="str">
        <f>CONCATENATE("     ","General                                           ")</f>
        <v xml:space="preserve">     General                                           </v>
      </c>
      <c r="C21" s="13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3"/>
      <c r="P21" s="1">
        <f>SUM(OSRRefP22_1x_0)</f>
        <v>978.55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978.55</v>
      </c>
      <c r="Y21" s="1"/>
      <c r="Z21" s="5">
        <f t="shared" si="7"/>
        <v>0</v>
      </c>
    </row>
    <row r="22" spans="1:26" s="24" customFormat="1" hidden="1" outlineLevel="2" x14ac:dyDescent="0.25">
      <c r="A22" s="26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978.55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978.55</v>
      </c>
      <c r="Y22" s="2"/>
      <c r="Z22" s="6">
        <f t="shared" si="7"/>
        <v>0</v>
      </c>
    </row>
    <row r="23" spans="1:26" s="25" customFormat="1" outlineLevel="1" collapsed="1" x14ac:dyDescent="0.25">
      <c r="A23" s="27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6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5" customFormat="1" outlineLevel="1" collapsed="1" x14ac:dyDescent="0.25">
      <c r="A25" s="27"/>
      <c r="B25" s="13" t="str">
        <f>CONCATENATE("     ","Telephone/Data Lines                              ")</f>
        <v xml:space="preserve">     Telephone/Data Lines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428.01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428.01</v>
      </c>
      <c r="Y26" s="2"/>
      <c r="Z26" s="6">
        <f t="shared" si="7"/>
        <v>0</v>
      </c>
    </row>
    <row r="27" spans="1:26" s="61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277</v>
      </c>
      <c r="C30" s="28"/>
      <c r="D30" s="21">
        <f>+D16-D18+D28</f>
        <v>-479.29</v>
      </c>
      <c r="E30" s="14"/>
      <c r="F30" s="20">
        <f>IF(D$12=0,0,D30/D$12)</f>
        <v>0</v>
      </c>
      <c r="G30" s="14"/>
      <c r="H30" s="21">
        <f>+H16-H18+H28</f>
        <v>-479</v>
      </c>
      <c r="I30" s="14"/>
      <c r="J30" s="20">
        <f>IF(H$12=0,0,H30/H$12)</f>
        <v>0</v>
      </c>
      <c r="K30" s="16"/>
      <c r="L30" s="21">
        <f>+D30-H30</f>
        <v>-0.29000000000002046</v>
      </c>
      <c r="M30" s="16"/>
      <c r="N30" s="20">
        <f>IF(H30=0,0,L30/H30)</f>
        <v>6.054279749478506E-4</v>
      </c>
      <c r="O30" s="29"/>
      <c r="P30" s="21">
        <f>+P16-P18+P28</f>
        <v>-6353.79</v>
      </c>
      <c r="Q30" s="14"/>
      <c r="R30" s="20">
        <f>IF(P$12=0,0,P30/P$12)</f>
        <v>0</v>
      </c>
      <c r="S30" s="14"/>
      <c r="T30" s="21">
        <f>+T16-T18+T28</f>
        <v>-4790</v>
      </c>
      <c r="U30" s="14"/>
      <c r="V30" s="20">
        <f>IF(T$12=0,0,T30/T$12)</f>
        <v>0</v>
      </c>
      <c r="W30" s="16"/>
      <c r="X30" s="21">
        <f>+P30-T30</f>
        <v>-1563.79</v>
      </c>
      <c r="Y30" s="16"/>
      <c r="Z30" s="20">
        <f>IF(T30=0,0,X30/T30)</f>
        <v>0.32646972860125262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126</v>
      </c>
      <c r="C34" s="28"/>
      <c r="D34" s="31">
        <f>+D30-D32</f>
        <v>-479.29</v>
      </c>
      <c r="E34" s="14"/>
      <c r="F34" s="33">
        <f>IF(D$12=0,0,D34/D$12)</f>
        <v>0</v>
      </c>
      <c r="G34" s="14"/>
      <c r="H34" s="31">
        <f>+H30-H32</f>
        <v>-479</v>
      </c>
      <c r="I34" s="14"/>
      <c r="J34" s="33">
        <f>IF(H$12=0,0,H34/H$12)</f>
        <v>0</v>
      </c>
      <c r="K34" s="16"/>
      <c r="L34" s="31">
        <f>D34-H34</f>
        <v>-0.29000000000002046</v>
      </c>
      <c r="M34" s="16"/>
      <c r="N34" s="33">
        <f>IF(H34=0,0,L34/H34)</f>
        <v>6.054279749478506E-4</v>
      </c>
      <c r="O34" s="29"/>
      <c r="P34" s="31">
        <f>+P30-P32</f>
        <v>-6353.79</v>
      </c>
      <c r="Q34" s="14"/>
      <c r="R34" s="33">
        <f>IF(P$12=0,0,P34/P$12)</f>
        <v>0</v>
      </c>
      <c r="S34" s="14"/>
      <c r="T34" s="31">
        <f>+T30-T32</f>
        <v>-4790</v>
      </c>
      <c r="U34" s="14"/>
      <c r="V34" s="33">
        <f>IF(T$12=0,0,T34/T$12)</f>
        <v>0</v>
      </c>
      <c r="W34" s="16"/>
      <c r="X34" s="31">
        <f>P34-T34</f>
        <v>-1563.79</v>
      </c>
      <c r="Y34" s="16"/>
      <c r="Z34" s="33">
        <f>IF(T34=0,0,X34/T34)</f>
        <v>0.32646972860125262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294</v>
      </c>
      <c r="C37" s="28"/>
      <c r="D37" s="34">
        <f>SUM(D34:D36)</f>
        <v>-479.29</v>
      </c>
      <c r="E37" s="14"/>
      <c r="F37" s="35">
        <f>IF(D$12=0,0,D37/D$12)</f>
        <v>0</v>
      </c>
      <c r="G37" s="14"/>
      <c r="H37" s="34">
        <f>SUM(H34:H36)</f>
        <v>-479</v>
      </c>
      <c r="I37" s="14"/>
      <c r="J37" s="35">
        <f>IF(H$12=0,0,H37/H$12)</f>
        <v>0</v>
      </c>
      <c r="K37" s="16"/>
      <c r="L37" s="34">
        <f>+D37-H37</f>
        <v>-0.29000000000002046</v>
      </c>
      <c r="M37" s="16"/>
      <c r="N37" s="35">
        <f>IF(H37=0,0,L37/H37)</f>
        <v>6.054279749478506E-4</v>
      </c>
      <c r="O37" s="29"/>
      <c r="P37" s="34">
        <f>SUM(P34:P36)</f>
        <v>-6353.79</v>
      </c>
      <c r="Q37" s="14"/>
      <c r="R37" s="35">
        <f>IF(P$12=0,0,P37/P$12)</f>
        <v>0</v>
      </c>
      <c r="S37" s="14"/>
      <c r="T37" s="34">
        <f>SUM(T34:T36)</f>
        <v>-4790</v>
      </c>
      <c r="U37" s="14"/>
      <c r="V37" s="35">
        <f>IF(T$12=0,0,T37/T$12)</f>
        <v>0</v>
      </c>
      <c r="W37" s="16"/>
      <c r="X37" s="34">
        <f>+P37-T37</f>
        <v>-1563.79</v>
      </c>
      <c r="Y37" s="16"/>
      <c r="Z37" s="35">
        <f>IF(T37=0,0,X37/T37)</f>
        <v>0.32646972860125262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>
        <v>44330.0058283912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5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-6593.4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-6593.4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-6593.4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-6593.4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9"/>
      <c r="P17" s="21">
        <f>P12-P14</f>
        <v>6593.4</v>
      </c>
      <c r="Q17" s="14"/>
      <c r="R17" s="20">
        <f>IF(P$12=0,0,P17/P$12)</f>
        <v>0</v>
      </c>
      <c r="S17" s="14"/>
      <c r="T17" s="21">
        <f>T12-T14</f>
        <v>0</v>
      </c>
      <c r="U17" s="14"/>
      <c r="V17" s="20">
        <f>IF(T$12=0,0,T17/T$12)</f>
        <v>0</v>
      </c>
      <c r="W17" s="16"/>
      <c r="X17" s="21">
        <f>+P17-T17</f>
        <v>6593.4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1000.91</v>
      </c>
      <c r="E19" s="22"/>
      <c r="F19" s="32">
        <f t="shared" ref="F19:F25" si="8">IF(D$12=0,0,D19/D$12)</f>
        <v>0</v>
      </c>
      <c r="G19" s="22"/>
      <c r="H19" s="22">
        <f>SUM(OSRRefH22x_0)</f>
        <v>1001</v>
      </c>
      <c r="I19" s="22"/>
      <c r="J19" s="32">
        <f t="shared" ref="J19:J25" si="9">IF(H$12=0,0,H19/H$12)</f>
        <v>0</v>
      </c>
      <c r="K19" s="4"/>
      <c r="L19" s="22">
        <f t="shared" ref="L19:L25" si="10">+D19-H19</f>
        <v>-9.0000000000031832E-2</v>
      </c>
      <c r="M19" s="4"/>
      <c r="N19" s="32">
        <f t="shared" ref="N19:N25" si="11">IF(H19=0,0,L19/H19)</f>
        <v>-8.9910089910121704E-5</v>
      </c>
      <c r="O19" s="10"/>
      <c r="P19" s="22">
        <f>SUM(OSRRefP22x_0)</f>
        <v>13637.779999999999</v>
      </c>
      <c r="Q19" s="22"/>
      <c r="R19" s="32">
        <f t="shared" ref="R19:R25" si="12">IF(P$12=0,0,P19/P$12)</f>
        <v>0</v>
      </c>
      <c r="S19" s="22"/>
      <c r="T19" s="22">
        <f>SUM(OSRRefT22x_0)</f>
        <v>10010</v>
      </c>
      <c r="U19" s="22"/>
      <c r="V19" s="32">
        <f t="shared" ref="V19:V25" si="13">IF(T$12=0,0,T19/T$12)</f>
        <v>0</v>
      </c>
      <c r="W19" s="4"/>
      <c r="X19" s="22">
        <f t="shared" ref="X19:X25" si="14">+P19-T19</f>
        <v>3627.7799999999988</v>
      </c>
      <c r="Y19" s="4"/>
      <c r="Z19" s="32">
        <f t="shared" ref="Z19:Z25" si="15">IF(T19=0,0,X19/T19)</f>
        <v>0.3624155844155843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3"/>
      <c r="P20" s="1">
        <f>SUM(OSRRefP22_0x_0)</f>
        <v>1420.5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1420.5</v>
      </c>
      <c r="Y20" s="1"/>
      <c r="Z20" s="5">
        <f t="shared" si="15"/>
        <v>0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>
        <v>171.54</v>
      </c>
      <c r="Q21" s="2"/>
      <c r="R21" s="6">
        <f t="shared" si="12"/>
        <v>0</v>
      </c>
      <c r="S21" s="2"/>
      <c r="T21" s="7"/>
      <c r="U21" s="2"/>
      <c r="V21" s="6">
        <f t="shared" si="13"/>
        <v>0</v>
      </c>
      <c r="W21" s="2"/>
      <c r="X21" s="7">
        <f t="shared" si="14"/>
        <v>171.54</v>
      </c>
      <c r="Y21" s="2"/>
      <c r="Z21" s="6">
        <f t="shared" si="15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0</v>
      </c>
      <c r="M22" s="2"/>
      <c r="N22" s="6">
        <f t="shared" si="11"/>
        <v>0</v>
      </c>
      <c r="O22" s="11"/>
      <c r="P22" s="7">
        <v>699.3</v>
      </c>
      <c r="Q22" s="2"/>
      <c r="R22" s="6">
        <f t="shared" si="12"/>
        <v>0</v>
      </c>
      <c r="S22" s="2"/>
      <c r="T22" s="7"/>
      <c r="U22" s="2"/>
      <c r="V22" s="6">
        <f t="shared" si="13"/>
        <v>0</v>
      </c>
      <c r="W22" s="2"/>
      <c r="X22" s="7">
        <f t="shared" si="14"/>
        <v>699.3</v>
      </c>
      <c r="Y22" s="2"/>
      <c r="Z22" s="6">
        <f t="shared" si="15"/>
        <v>0</v>
      </c>
    </row>
    <row r="23" spans="1:26" s="24" customFormat="1" hidden="1" outlineLevel="2" x14ac:dyDescent="0.25">
      <c r="A23" s="26"/>
      <c r="B23" s="11" t="str">
        <f>CONCATENATE("          ", "6115", " - ", "P.E.R.S.")</f>
        <v xml:space="preserve">          6115 - P.E.R.S.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>
        <v>355.22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355.22</v>
      </c>
      <c r="Y23" s="2"/>
      <c r="Z23" s="6">
        <f t="shared" si="15"/>
        <v>0</v>
      </c>
    </row>
    <row r="24" spans="1:26" s="24" customFormat="1" hidden="1" outlineLevel="2" x14ac:dyDescent="0.25">
      <c r="A24" s="26"/>
      <c r="B24" s="11" t="str">
        <f>CONCATENATE("          ", "6118", " - ", "VACATION")</f>
        <v xml:space="preserve">          6118 - VACATION</v>
      </c>
      <c r="C24" s="11"/>
      <c r="D24" s="7"/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0</v>
      </c>
      <c r="M24" s="2"/>
      <c r="N24" s="6">
        <f t="shared" si="11"/>
        <v>0</v>
      </c>
      <c r="O24" s="11"/>
      <c r="P24" s="7">
        <v>88.46</v>
      </c>
      <c r="Q24" s="2"/>
      <c r="R24" s="6">
        <f t="shared" si="12"/>
        <v>0</v>
      </c>
      <c r="S24" s="2"/>
      <c r="T24" s="7"/>
      <c r="U24" s="2"/>
      <c r="V24" s="6">
        <f t="shared" si="13"/>
        <v>0</v>
      </c>
      <c r="W24" s="2"/>
      <c r="X24" s="7">
        <f t="shared" si="14"/>
        <v>88.46</v>
      </c>
      <c r="Y24" s="2"/>
      <c r="Z24" s="6">
        <f t="shared" si="15"/>
        <v>0</v>
      </c>
    </row>
    <row r="25" spans="1:26" s="24" customFormat="1" hidden="1" outlineLevel="2" x14ac:dyDescent="0.25">
      <c r="A25" s="26"/>
      <c r="B25" s="11" t="str">
        <f>CONCATENATE("          ", "6119", " - ", "SICK LEAVE")</f>
        <v xml:space="preserve">          6119 - SICK LEAVE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>
        <v>105.98</v>
      </c>
      <c r="Q25" s="2"/>
      <c r="R25" s="6">
        <f t="shared" si="12"/>
        <v>0</v>
      </c>
      <c r="S25" s="2"/>
      <c r="T25" s="7"/>
      <c r="U25" s="2"/>
      <c r="V25" s="6">
        <f t="shared" si="13"/>
        <v>0</v>
      </c>
      <c r="W25" s="2"/>
      <c r="X25" s="7">
        <f t="shared" si="14"/>
        <v>105.98</v>
      </c>
      <c r="Y25" s="2"/>
      <c r="Z25" s="6">
        <f t="shared" si="15"/>
        <v>0</v>
      </c>
    </row>
    <row r="26" spans="1:26" s="25" customFormat="1" outlineLevel="1" collapsed="1" x14ac:dyDescent="0.25">
      <c r="A26" s="27"/>
      <c r="B26" s="13" t="str">
        <f>CONCATENATE("     ","*Payroll                                          ")</f>
        <v xml:space="preserve">     *Payroll                                          </v>
      </c>
      <c r="C26" s="13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3"/>
      <c r="P26" s="1">
        <f>SUM(OSRRefP22_1x_0)</f>
        <v>1378.61</v>
      </c>
      <c r="Q26" s="1"/>
      <c r="R26" s="5">
        <f t="shared" ref="R26:R34" si="20">IF(P$12=0,0,P26/P$12)</f>
        <v>0</v>
      </c>
      <c r="S26" s="1"/>
      <c r="T26" s="1">
        <f>SUM(OSRRefT22_1x_0)</f>
        <v>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1378.61</v>
      </c>
      <c r="Y26" s="1"/>
      <c r="Z26" s="5">
        <f t="shared" ref="Z26:Z34" si="23">IF(T26=0,0,X26/T26)</f>
        <v>0</v>
      </c>
    </row>
    <row r="27" spans="1:26" s="24" customFormat="1" hidden="1" outlineLevel="2" x14ac:dyDescent="0.25">
      <c r="A27" s="26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>
        <v>1378.61</v>
      </c>
      <c r="Q27" s="2"/>
      <c r="R27" s="6">
        <f t="shared" si="20"/>
        <v>0</v>
      </c>
      <c r="S27" s="2"/>
      <c r="T27" s="7"/>
      <c r="U27" s="2"/>
      <c r="V27" s="6">
        <f t="shared" si="21"/>
        <v>0</v>
      </c>
      <c r="W27" s="2"/>
      <c r="X27" s="7">
        <f t="shared" si="22"/>
        <v>1378.61</v>
      </c>
      <c r="Y27" s="2"/>
      <c r="Z27" s="6">
        <f t="shared" si="23"/>
        <v>0</v>
      </c>
    </row>
    <row r="28" spans="1:26" s="25" customFormat="1" outlineLevel="1" collapsed="1" x14ac:dyDescent="0.25">
      <c r="A28" s="27"/>
      <c r="B28" s="13" t="str">
        <f>CONCATENATE("     ","Depreciation                                      ")</f>
        <v xml:space="preserve">     Depreciation                                      </v>
      </c>
      <c r="C28" s="13"/>
      <c r="D28" s="1">
        <f>SUM(OSRRefD22_2x_0)</f>
        <v>1000.91</v>
      </c>
      <c r="E28" s="1"/>
      <c r="F28" s="5">
        <f t="shared" si="16"/>
        <v>0</v>
      </c>
      <c r="G28" s="1"/>
      <c r="H28" s="1">
        <f>SUM(OSRRefH22_2x_0)</f>
        <v>1001</v>
      </c>
      <c r="I28" s="1"/>
      <c r="J28" s="5">
        <f t="shared" si="17"/>
        <v>0</v>
      </c>
      <c r="K28" s="1"/>
      <c r="L28" s="1">
        <f t="shared" si="18"/>
        <v>-9.0000000000031832E-2</v>
      </c>
      <c r="M28" s="1"/>
      <c r="N28" s="5">
        <f t="shared" si="19"/>
        <v>-8.9910089910121704E-5</v>
      </c>
      <c r="O28" s="13"/>
      <c r="P28" s="1">
        <f>SUM(OSRRefP22_2x_0)</f>
        <v>10009.1</v>
      </c>
      <c r="Q28" s="1"/>
      <c r="R28" s="5">
        <f t="shared" si="20"/>
        <v>0</v>
      </c>
      <c r="S28" s="1"/>
      <c r="T28" s="1">
        <f>SUM(OSRRefT22_2x_0)</f>
        <v>10010</v>
      </c>
      <c r="U28" s="1"/>
      <c r="V28" s="5">
        <f t="shared" si="21"/>
        <v>0</v>
      </c>
      <c r="W28" s="1"/>
      <c r="X28" s="1">
        <f t="shared" si="22"/>
        <v>-0.8999999999996362</v>
      </c>
      <c r="Y28" s="1"/>
      <c r="Z28" s="5">
        <f t="shared" si="23"/>
        <v>-8.9910089910053562E-5</v>
      </c>
    </row>
    <row r="29" spans="1:26" s="24" customFormat="1" hidden="1" outlineLevel="2" x14ac:dyDescent="0.25">
      <c r="A29" s="26"/>
      <c r="B29" s="11" t="str">
        <f>CONCATENATE("          ", "6322", " - ", "EQUIPMENT DEPRECIATION EXPENSE")</f>
        <v xml:space="preserve">          6322 - EQUIPMENT DEPRECIATION EXPENSE</v>
      </c>
      <c r="C29" s="11"/>
      <c r="D29" s="7">
        <v>1000.91</v>
      </c>
      <c r="E29" s="2"/>
      <c r="F29" s="6">
        <f t="shared" si="16"/>
        <v>0</v>
      </c>
      <c r="G29" s="2"/>
      <c r="H29" s="7">
        <v>1001</v>
      </c>
      <c r="I29" s="2"/>
      <c r="J29" s="6">
        <f t="shared" si="17"/>
        <v>0</v>
      </c>
      <c r="K29" s="2"/>
      <c r="L29" s="7">
        <f t="shared" si="18"/>
        <v>-9.0000000000031832E-2</v>
      </c>
      <c r="M29" s="2"/>
      <c r="N29" s="6">
        <f t="shared" si="19"/>
        <v>-8.9910089910121704E-5</v>
      </c>
      <c r="O29" s="11"/>
      <c r="P29" s="7">
        <v>10009.1</v>
      </c>
      <c r="Q29" s="2"/>
      <c r="R29" s="6">
        <f t="shared" si="20"/>
        <v>0</v>
      </c>
      <c r="S29" s="2"/>
      <c r="T29" s="7">
        <v>10010</v>
      </c>
      <c r="U29" s="2"/>
      <c r="V29" s="6">
        <f t="shared" si="21"/>
        <v>0</v>
      </c>
      <c r="W29" s="2"/>
      <c r="X29" s="7">
        <f t="shared" si="22"/>
        <v>-0.8999999999996362</v>
      </c>
      <c r="Y29" s="2"/>
      <c r="Z29" s="6">
        <f t="shared" si="23"/>
        <v>-8.9910089910053562E-5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3"/>
      <c r="P30" s="1">
        <f>SUM(OSRRefP22_3x_0)</f>
        <v>455</v>
      </c>
      <c r="Q30" s="1"/>
      <c r="R30" s="5">
        <f t="shared" si="20"/>
        <v>0</v>
      </c>
      <c r="S30" s="1"/>
      <c r="T30" s="1">
        <f>SUM(OSRRefT22_3x_0)</f>
        <v>0</v>
      </c>
      <c r="U30" s="1"/>
      <c r="V30" s="5">
        <f t="shared" si="21"/>
        <v>0</v>
      </c>
      <c r="W30" s="1"/>
      <c r="X30" s="1">
        <f t="shared" si="22"/>
        <v>455</v>
      </c>
      <c r="Y30" s="1"/>
      <c r="Z30" s="5">
        <f t="shared" si="23"/>
        <v>0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>
        <v>455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455</v>
      </c>
      <c r="Y31" s="2"/>
      <c r="Z31" s="6">
        <f t="shared" si="23"/>
        <v>0</v>
      </c>
    </row>
    <row r="32" spans="1:26" s="25" customFormat="1" outlineLevel="1" collapsed="1" x14ac:dyDescent="0.25">
      <c r="A32" s="27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3"/>
      <c r="P32" s="1">
        <f>SUM(OSRRefP22_4x_0)</f>
        <v>242.03</v>
      </c>
      <c r="Q32" s="1"/>
      <c r="R32" s="5">
        <f t="shared" si="20"/>
        <v>0</v>
      </c>
      <c r="S32" s="1"/>
      <c r="T32" s="1">
        <f>SUM(OSRRefT22_4x_0)</f>
        <v>0</v>
      </c>
      <c r="U32" s="1"/>
      <c r="V32" s="5">
        <f t="shared" si="21"/>
        <v>0</v>
      </c>
      <c r="W32" s="1"/>
      <c r="X32" s="1">
        <f t="shared" si="22"/>
        <v>242.03</v>
      </c>
      <c r="Y32" s="1"/>
      <c r="Z32" s="5">
        <f t="shared" si="23"/>
        <v>0</v>
      </c>
    </row>
    <row r="33" spans="1:26" s="24" customFormat="1" hidden="1" outlineLevel="2" x14ac:dyDescent="0.25">
      <c r="A33" s="26"/>
      <c r="B33" s="11" t="str">
        <f>CONCATENATE("          ", "6373", " - ", "MAINTENANCE CONTRACTS")</f>
        <v xml:space="preserve">          6373 - MAINTENANCE CONTRACTS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235.8</v>
      </c>
      <c r="Q33" s="2"/>
      <c r="R33" s="6">
        <f t="shared" si="20"/>
        <v>0</v>
      </c>
      <c r="S33" s="2"/>
      <c r="T33" s="7"/>
      <c r="U33" s="2"/>
      <c r="V33" s="6">
        <f t="shared" si="21"/>
        <v>0</v>
      </c>
      <c r="W33" s="2"/>
      <c r="X33" s="7">
        <f t="shared" si="22"/>
        <v>235.8</v>
      </c>
      <c r="Y33" s="2"/>
      <c r="Z33" s="6">
        <f t="shared" si="23"/>
        <v>0</v>
      </c>
    </row>
    <row r="34" spans="1:26" s="24" customFormat="1" hidden="1" outlineLevel="2" x14ac:dyDescent="0.25">
      <c r="A34" s="26"/>
      <c r="B34" s="11" t="str">
        <f>CONCATENATE("          ", "6375", " - ", "OUTSIDE REPAIRS &amp; MAINTENANCE")</f>
        <v xml:space="preserve">          6375 - OUTSIDE REPAIRS &amp; MAINTENANCE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6.23</v>
      </c>
      <c r="Q34" s="2"/>
      <c r="R34" s="6">
        <f t="shared" si="20"/>
        <v>0</v>
      </c>
      <c r="S34" s="2"/>
      <c r="T34" s="7"/>
      <c r="U34" s="2"/>
      <c r="V34" s="6">
        <f t="shared" si="21"/>
        <v>0</v>
      </c>
      <c r="W34" s="2"/>
      <c r="X34" s="7">
        <f t="shared" si="22"/>
        <v>6.23</v>
      </c>
      <c r="Y34" s="2"/>
      <c r="Z34" s="6">
        <f t="shared" si="23"/>
        <v>0</v>
      </c>
    </row>
    <row r="35" spans="1:26" s="25" customFormat="1" outlineLevel="1" collapsed="1" x14ac:dyDescent="0.25">
      <c r="A35" s="27"/>
      <c r="B35" s="13" t="str">
        <f>CONCATENATE("     ","Telephone/Data Lines                              ")</f>
        <v xml:space="preserve">     Telephone/Data Lines                              </v>
      </c>
      <c r="C35" s="13"/>
      <c r="D35" s="1">
        <f>SUM(OSRRefD22_5x_0)</f>
        <v>0</v>
      </c>
      <c r="E35" s="1"/>
      <c r="F35" s="5">
        <f t="shared" ref="F35:F36" si="24">IF(D$12=0,0,D35/D$12)</f>
        <v>0</v>
      </c>
      <c r="G35" s="1"/>
      <c r="H35" s="1">
        <f>SUM(OSRRefH22_5x_0)</f>
        <v>0</v>
      </c>
      <c r="I35" s="1"/>
      <c r="J35" s="5">
        <f t="shared" ref="J35:J36" si="25">IF(H$12=0,0,H35/H$12)</f>
        <v>0</v>
      </c>
      <c r="K35" s="1"/>
      <c r="L35" s="1">
        <f t="shared" ref="L35:L36" si="26">+D35-H35</f>
        <v>0</v>
      </c>
      <c r="M35" s="1"/>
      <c r="N35" s="5">
        <f t="shared" ref="N35:N36" si="27">IF(H35=0,0,L35/H35)</f>
        <v>0</v>
      </c>
      <c r="O35" s="13"/>
      <c r="P35" s="1">
        <f>SUM(OSRRefP22_5x_0)</f>
        <v>132.54</v>
      </c>
      <c r="Q35" s="1"/>
      <c r="R35" s="5">
        <f t="shared" ref="R35:R36" si="28">IF(P$12=0,0,P35/P$12)</f>
        <v>0</v>
      </c>
      <c r="S35" s="1"/>
      <c r="T35" s="1">
        <f>SUM(OSRRefT22_5x_0)</f>
        <v>0</v>
      </c>
      <c r="U35" s="1"/>
      <c r="V35" s="5">
        <f t="shared" ref="V35:V36" si="29">IF(T$12=0,0,T35/T$12)</f>
        <v>0</v>
      </c>
      <c r="W35" s="1"/>
      <c r="X35" s="1">
        <f t="shared" ref="X35:X36" si="30">+P35-T35</f>
        <v>132.54</v>
      </c>
      <c r="Y35" s="1"/>
      <c r="Z35" s="5">
        <f t="shared" ref="Z35:Z36" si="31">IF(T35=0,0,X35/T35)</f>
        <v>0</v>
      </c>
    </row>
    <row r="36" spans="1:26" s="24" customFormat="1" hidden="1" outlineLevel="2" x14ac:dyDescent="0.25">
      <c r="A36" s="26"/>
      <c r="B36" s="11" t="str">
        <f>CONCATENATE("          ", "6309", " - ", "TELEPHONE")</f>
        <v xml:space="preserve">          6309 - TELEPHONE</v>
      </c>
      <c r="C36" s="11"/>
      <c r="D36" s="7"/>
      <c r="E36" s="2"/>
      <c r="F36" s="6">
        <f t="shared" si="24"/>
        <v>0</v>
      </c>
      <c r="G36" s="2"/>
      <c r="H36" s="7"/>
      <c r="I36" s="2"/>
      <c r="J36" s="6">
        <f t="shared" si="25"/>
        <v>0</v>
      </c>
      <c r="K36" s="2"/>
      <c r="L36" s="7">
        <f t="shared" si="26"/>
        <v>0</v>
      </c>
      <c r="M36" s="2"/>
      <c r="N36" s="6">
        <f t="shared" si="27"/>
        <v>0</v>
      </c>
      <c r="O36" s="11"/>
      <c r="P36" s="7">
        <v>132.54</v>
      </c>
      <c r="Q36" s="2"/>
      <c r="R36" s="6">
        <f t="shared" si="28"/>
        <v>0</v>
      </c>
      <c r="S36" s="2"/>
      <c r="T36" s="7"/>
      <c r="U36" s="2"/>
      <c r="V36" s="6">
        <f t="shared" si="29"/>
        <v>0</v>
      </c>
      <c r="W36" s="2"/>
      <c r="X36" s="7">
        <f t="shared" si="30"/>
        <v>132.54</v>
      </c>
      <c r="Y36" s="2"/>
      <c r="Z36" s="6">
        <f t="shared" si="31"/>
        <v>0</v>
      </c>
    </row>
    <row r="37" spans="1:26" s="61" customFormat="1" x14ac:dyDescent="0.25">
      <c r="A37" s="36"/>
      <c r="B37" s="36"/>
      <c r="C37" s="36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293</v>
      </c>
      <c r="C38" s="10"/>
      <c r="D38" s="4">
        <f>SUM(0)</f>
        <v>0</v>
      </c>
      <c r="E38" s="4"/>
      <c r="F38" s="12">
        <f>IF(D$12=0,0,D38/D$12)</f>
        <v>0</v>
      </c>
      <c r="G38" s="4"/>
      <c r="H38" s="4">
        <f>SUM(0)</f>
        <v>0</v>
      </c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>
        <f>SUM(0)</f>
        <v>0</v>
      </c>
      <c r="Q38" s="4"/>
      <c r="R38" s="12">
        <f>IF(P$12=0,0,P38/P$12)</f>
        <v>0</v>
      </c>
      <c r="S38" s="4"/>
      <c r="T38" s="4">
        <f>SUM(0)</f>
        <v>0</v>
      </c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8" t="s">
        <v>277</v>
      </c>
      <c r="C40" s="28"/>
      <c r="D40" s="21">
        <f>+D17-D19+D38</f>
        <v>-1000.91</v>
      </c>
      <c r="E40" s="14"/>
      <c r="F40" s="20">
        <f>IF(D$12=0,0,D40/D$12)</f>
        <v>0</v>
      </c>
      <c r="G40" s="14"/>
      <c r="H40" s="21">
        <f>+H17-H19+H38</f>
        <v>-1001</v>
      </c>
      <c r="I40" s="14"/>
      <c r="J40" s="20">
        <f>IF(H$12=0,0,H40/H$12)</f>
        <v>0</v>
      </c>
      <c r="K40" s="16"/>
      <c r="L40" s="21">
        <f>+D40-H40</f>
        <v>9.0000000000031832E-2</v>
      </c>
      <c r="M40" s="16"/>
      <c r="N40" s="20">
        <f>IF(H40=0,0,L40/H40)</f>
        <v>-8.9910089910121704E-5</v>
      </c>
      <c r="O40" s="29"/>
      <c r="P40" s="21">
        <f>+P17-P19+P38</f>
        <v>-7044.3799999999992</v>
      </c>
      <c r="Q40" s="14"/>
      <c r="R40" s="20">
        <f>IF(P$12=0,0,P40/P$12)</f>
        <v>0</v>
      </c>
      <c r="S40" s="14"/>
      <c r="T40" s="21">
        <f>+T17-T19+T38</f>
        <v>-10010</v>
      </c>
      <c r="U40" s="14"/>
      <c r="V40" s="20">
        <f>IF(T$12=0,0,T40/T$12)</f>
        <v>0</v>
      </c>
      <c r="W40" s="16"/>
      <c r="X40" s="21">
        <f>+P40-T40</f>
        <v>2965.6200000000008</v>
      </c>
      <c r="Y40" s="16"/>
      <c r="Z40" s="20">
        <f>IF(T40=0,0,X40/T40)</f>
        <v>-0.29626573426573433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52"/>
      <c r="B42" s="10" t="s">
        <v>128</v>
      </c>
      <c r="C42" s="10"/>
      <c r="D42" s="4"/>
      <c r="E42" s="4"/>
      <c r="F42" s="12">
        <f>IF(D$12=0,0,D42/D$12)</f>
        <v>0</v>
      </c>
      <c r="G42" s="4"/>
      <c r="H42" s="4"/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/>
      <c r="Q42" s="4"/>
      <c r="R42" s="12">
        <f>IF(P$12=0,0,P42/P$12)</f>
        <v>0</v>
      </c>
      <c r="S42" s="4"/>
      <c r="T42" s="4"/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126</v>
      </c>
      <c r="C44" s="28"/>
      <c r="D44" s="31">
        <f>+D40-D42</f>
        <v>-1000.91</v>
      </c>
      <c r="E44" s="14"/>
      <c r="F44" s="33">
        <f>IF(D$12=0,0,D44/D$12)</f>
        <v>0</v>
      </c>
      <c r="G44" s="14"/>
      <c r="H44" s="31">
        <f>+H40-H42</f>
        <v>-1001</v>
      </c>
      <c r="I44" s="14"/>
      <c r="J44" s="33">
        <f>IF(H$12=0,0,H44/H$12)</f>
        <v>0</v>
      </c>
      <c r="K44" s="16"/>
      <c r="L44" s="31">
        <f>D44-H44</f>
        <v>9.0000000000031832E-2</v>
      </c>
      <c r="M44" s="16"/>
      <c r="N44" s="33">
        <f>IF(H44=0,0,L44/H44)</f>
        <v>-8.9910089910121704E-5</v>
      </c>
      <c r="O44" s="29"/>
      <c r="P44" s="31">
        <f>+P40-P42</f>
        <v>-7044.3799999999992</v>
      </c>
      <c r="Q44" s="14"/>
      <c r="R44" s="33">
        <f>IF(P$12=0,0,P44/P$12)</f>
        <v>0</v>
      </c>
      <c r="S44" s="14"/>
      <c r="T44" s="31">
        <f>+T40-T42</f>
        <v>-10010</v>
      </c>
      <c r="U44" s="14"/>
      <c r="V44" s="33">
        <f>IF(T$12=0,0,T44/T$12)</f>
        <v>0</v>
      </c>
      <c r="W44" s="16"/>
      <c r="X44" s="31">
        <f>P44-T44</f>
        <v>2965.6200000000008</v>
      </c>
      <c r="Y44" s="16"/>
      <c r="Z44" s="33">
        <f>IF(T44=0,0,X44/T44)</f>
        <v>-0.29626573426573433</v>
      </c>
    </row>
    <row r="45" spans="1:26" ht="15.75" thickTop="1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294</v>
      </c>
      <c r="C47" s="28"/>
      <c r="D47" s="34">
        <f>SUM(D44:D46)</f>
        <v>-1000.91</v>
      </c>
      <c r="E47" s="14"/>
      <c r="F47" s="35">
        <f>IF(D$12=0,0,D47/D$12)</f>
        <v>0</v>
      </c>
      <c r="G47" s="14"/>
      <c r="H47" s="34">
        <f>SUM(H44:H46)</f>
        <v>-1001</v>
      </c>
      <c r="I47" s="14"/>
      <c r="J47" s="35">
        <f>IF(H$12=0,0,H47/H$12)</f>
        <v>0</v>
      </c>
      <c r="K47" s="16"/>
      <c r="L47" s="34">
        <f>+D47-H47</f>
        <v>9.0000000000031832E-2</v>
      </c>
      <c r="M47" s="16"/>
      <c r="N47" s="35">
        <f>IF(H47=0,0,L47/H47)</f>
        <v>-8.9910089910121704E-5</v>
      </c>
      <c r="O47" s="29"/>
      <c r="P47" s="34">
        <f>SUM(P44:P46)</f>
        <v>-7044.3799999999992</v>
      </c>
      <c r="Q47" s="14"/>
      <c r="R47" s="35">
        <f>IF(P$12=0,0,P47/P$12)</f>
        <v>0</v>
      </c>
      <c r="S47" s="14"/>
      <c r="T47" s="34">
        <f>SUM(T44:T46)</f>
        <v>-10010</v>
      </c>
      <c r="U47" s="14"/>
      <c r="V47" s="35">
        <f>IF(T$12=0,0,T47/T$12)</f>
        <v>0</v>
      </c>
      <c r="W47" s="16"/>
      <c r="X47" s="34">
        <f>+P47-T47</f>
        <v>2965.6200000000008</v>
      </c>
      <c r="Y47" s="16"/>
      <c r="Z47" s="35">
        <f>IF(T47=0,0,X47/T47)</f>
        <v>-0.29626573426573433</v>
      </c>
    </row>
    <row r="48" spans="1:26" ht="15.75" thickTop="1" x14ac:dyDescent="0.25">
      <c r="A48" s="9"/>
      <c r="C48" s="9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25">
      <c r="A49" s="9"/>
      <c r="B49" s="62">
        <v>44330.0058283912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25">
      <c r="A50" s="9"/>
      <c r="B50" s="56" t="s">
        <v>56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25">
      <c r="A51" s="9"/>
      <c r="B51" s="55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25"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","455", " - ", "Vending (old)")</f>
        <v>Department 455 - Vending (old)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9" t="s">
        <v>293</v>
      </c>
      <c r="C20" s="10"/>
      <c r="D20" s="4">
        <f>SUM(OSRRefD25x_0)</f>
        <v>1082.75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1082.75</v>
      </c>
      <c r="M20" s="4"/>
      <c r="N20" s="12">
        <f t="shared" ref="N20:N22" si="3">IF(H20=0,0,L20/H20)</f>
        <v>0</v>
      </c>
      <c r="O20" s="10"/>
      <c r="P20" s="4">
        <f>SUM(OSRRefP25x_0)</f>
        <v>16287.57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16287.57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>--732.1</f>
        <v>732.1</v>
      </c>
      <c r="E21" s="2"/>
      <c r="F21" s="19">
        <f t="shared" si="0"/>
        <v>0</v>
      </c>
      <c r="G21" s="2"/>
      <c r="H21" s="2"/>
      <c r="I21" s="2"/>
      <c r="J21" s="19">
        <f t="shared" si="1"/>
        <v>0</v>
      </c>
      <c r="K21" s="2"/>
      <c r="L21" s="2">
        <f t="shared" si="2"/>
        <v>732.1</v>
      </c>
      <c r="M21" s="2"/>
      <c r="N21" s="19">
        <f t="shared" si="3"/>
        <v>0</v>
      </c>
      <c r="O21" s="11"/>
      <c r="P21" s="2">
        <f>--12798.71</f>
        <v>12798.71</v>
      </c>
      <c r="Q21" s="2"/>
      <c r="R21" s="19">
        <f t="shared" si="4"/>
        <v>0</v>
      </c>
      <c r="S21" s="2"/>
      <c r="T21" s="2"/>
      <c r="U21" s="2"/>
      <c r="V21" s="19">
        <f t="shared" si="5"/>
        <v>0</v>
      </c>
      <c r="W21" s="2"/>
      <c r="X21" s="2">
        <f t="shared" si="6"/>
        <v>12798.71</v>
      </c>
      <c r="Y21" s="2"/>
      <c r="Z21" s="19">
        <f t="shared" si="7"/>
        <v>0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>--350.65</f>
        <v>350.65</v>
      </c>
      <c r="E22" s="2"/>
      <c r="F22" s="19">
        <f t="shared" si="0"/>
        <v>0</v>
      </c>
      <c r="G22" s="2"/>
      <c r="H22" s="2"/>
      <c r="I22" s="2"/>
      <c r="J22" s="19">
        <f t="shared" si="1"/>
        <v>0</v>
      </c>
      <c r="K22" s="2"/>
      <c r="L22" s="2">
        <f t="shared" si="2"/>
        <v>350.65</v>
      </c>
      <c r="M22" s="2"/>
      <c r="N22" s="19">
        <f t="shared" si="3"/>
        <v>0</v>
      </c>
      <c r="O22" s="11"/>
      <c r="P22" s="2">
        <f>--3488.86</f>
        <v>3488.86</v>
      </c>
      <c r="Q22" s="2"/>
      <c r="R22" s="19">
        <f t="shared" si="4"/>
        <v>0</v>
      </c>
      <c r="S22" s="2"/>
      <c r="T22" s="2"/>
      <c r="U22" s="2"/>
      <c r="V22" s="19">
        <f t="shared" si="5"/>
        <v>0</v>
      </c>
      <c r="W22" s="2"/>
      <c r="X22" s="2">
        <f t="shared" si="6"/>
        <v>3488.86</v>
      </c>
      <c r="Y22" s="2"/>
      <c r="Z22" s="19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277</v>
      </c>
      <c r="C24" s="28"/>
      <c r="D24" s="21">
        <f>+D16-D18+D20</f>
        <v>1082.75</v>
      </c>
      <c r="E24" s="14"/>
      <c r="F24" s="20">
        <f>IF(D$12=0,0,D24/D$12)</f>
        <v>0</v>
      </c>
      <c r="G24" s="14"/>
      <c r="H24" s="21">
        <f>+H16-H18+H20</f>
        <v>0</v>
      </c>
      <c r="I24" s="14"/>
      <c r="J24" s="20">
        <f>IF(H$12=0,0,H24/H$12)</f>
        <v>0</v>
      </c>
      <c r="K24" s="16"/>
      <c r="L24" s="21">
        <f>+D24-H24</f>
        <v>1082.75</v>
      </c>
      <c r="M24" s="16"/>
      <c r="N24" s="20">
        <f>IF(H24=0,0,L24/H24)</f>
        <v>0</v>
      </c>
      <c r="O24" s="29"/>
      <c r="P24" s="21">
        <f>+P16-P18+P20</f>
        <v>16287.57</v>
      </c>
      <c r="Q24" s="14"/>
      <c r="R24" s="20">
        <f>IF(P$12=0,0,P24/P$12)</f>
        <v>0</v>
      </c>
      <c r="S24" s="14"/>
      <c r="T24" s="21">
        <f>+T16-T18+T20</f>
        <v>0</v>
      </c>
      <c r="U24" s="14"/>
      <c r="V24" s="20">
        <f>IF(T$12=0,0,T24/T$12)</f>
        <v>0</v>
      </c>
      <c r="W24" s="16"/>
      <c r="X24" s="21">
        <f>+P24-T24</f>
        <v>16287.57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126</v>
      </c>
      <c r="C28" s="28"/>
      <c r="D28" s="31">
        <f>+D24-D26</f>
        <v>1082.75</v>
      </c>
      <c r="E28" s="14"/>
      <c r="F28" s="33">
        <f>IF(D$12=0,0,D28/D$12)</f>
        <v>0</v>
      </c>
      <c r="G28" s="14"/>
      <c r="H28" s="31">
        <f>+H24-H26</f>
        <v>0</v>
      </c>
      <c r="I28" s="14"/>
      <c r="J28" s="33">
        <f>IF(H$12=0,0,H28/H$12)</f>
        <v>0</v>
      </c>
      <c r="K28" s="16"/>
      <c r="L28" s="31">
        <f>D28-H28</f>
        <v>1082.75</v>
      </c>
      <c r="M28" s="16"/>
      <c r="N28" s="33">
        <f>IF(H28=0,0,L28/H28)</f>
        <v>0</v>
      </c>
      <c r="O28" s="29"/>
      <c r="P28" s="31">
        <f>+P24-P26</f>
        <v>16287.57</v>
      </c>
      <c r="Q28" s="14"/>
      <c r="R28" s="33">
        <f>IF(P$12=0,0,P28/P$12)</f>
        <v>0</v>
      </c>
      <c r="S28" s="14"/>
      <c r="T28" s="31">
        <f>+T24-T26</f>
        <v>0</v>
      </c>
      <c r="U28" s="14"/>
      <c r="V28" s="33">
        <f>IF(T$12=0,0,T28/T$12)</f>
        <v>0</v>
      </c>
      <c r="W28" s="16"/>
      <c r="X28" s="31">
        <f>P28-T28</f>
        <v>16287.57</v>
      </c>
      <c r="Y28" s="16"/>
      <c r="Z28" s="33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4">
        <f>SUM(D28:D30)</f>
        <v>1082.75</v>
      </c>
      <c r="E31" s="14"/>
      <c r="F31" s="35">
        <f>IF(D$12=0,0,D31/D$12)</f>
        <v>0</v>
      </c>
      <c r="G31" s="14"/>
      <c r="H31" s="34">
        <f>SUM(H28:H30)</f>
        <v>0</v>
      </c>
      <c r="I31" s="14"/>
      <c r="J31" s="35">
        <f>IF(H$12=0,0,H31/H$12)</f>
        <v>0</v>
      </c>
      <c r="K31" s="16"/>
      <c r="L31" s="34">
        <f>+D31-H31</f>
        <v>1082.75</v>
      </c>
      <c r="M31" s="16"/>
      <c r="N31" s="35">
        <f>IF(H31=0,0,L31/H31)</f>
        <v>0</v>
      </c>
      <c r="O31" s="29"/>
      <c r="P31" s="34">
        <f>SUM(P28:P30)</f>
        <v>16287.57</v>
      </c>
      <c r="Q31" s="14"/>
      <c r="R31" s="35">
        <f>IF(P$12=0,0,P31/P$12)</f>
        <v>0</v>
      </c>
      <c r="S31" s="14"/>
      <c r="T31" s="34">
        <f>SUM(T28:T30)</f>
        <v>0</v>
      </c>
      <c r="U31" s="14"/>
      <c r="V31" s="35">
        <f>IF(T$12=0,0,T31/T$12)</f>
        <v>0</v>
      </c>
      <c r="W31" s="16"/>
      <c r="X31" s="34">
        <f>+P31-T31</f>
        <v>16287.57</v>
      </c>
      <c r="Y31" s="16"/>
      <c r="Z31" s="35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2">
        <v>44330.0058283912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183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90165.79</v>
      </c>
      <c r="E12" s="4"/>
      <c r="F12" s="12"/>
      <c r="G12" s="4"/>
      <c r="H12" s="4">
        <f>SUM(OSRRefH13x_0)</f>
        <v>501219</v>
      </c>
      <c r="I12" s="4"/>
      <c r="J12" s="12"/>
      <c r="K12" s="4"/>
      <c r="L12" s="4">
        <f t="shared" ref="L12:L16" si="0">+D12-H12</f>
        <v>-411053.21</v>
      </c>
      <c r="M12" s="4"/>
      <c r="N12" s="12">
        <f t="shared" ref="N12:N16" si="1">IF(H12=0,0,L12/H12)</f>
        <v>-0.82010699913610619</v>
      </c>
      <c r="O12" s="10"/>
      <c r="P12" s="4">
        <f>SUM(OSRRefP13x_0)</f>
        <v>941355.9</v>
      </c>
      <c r="Q12" s="4"/>
      <c r="R12" s="12"/>
      <c r="S12" s="4"/>
      <c r="T12" s="4">
        <f>SUM(OSRRefT13x_0)</f>
        <v>3647731</v>
      </c>
      <c r="U12" s="4"/>
      <c r="V12" s="12"/>
      <c r="W12" s="4"/>
      <c r="X12" s="4">
        <f t="shared" ref="X12:X16" si="2">+P12-T12</f>
        <v>-2706375.1</v>
      </c>
      <c r="Y12" s="4"/>
      <c r="Z12" s="12">
        <f t="shared" ref="Z12:Z16" si="3">IF(T12=0,0,X12/T12)</f>
        <v>-0.74193384874049106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--161.18</f>
        <v>161.18</v>
      </c>
      <c r="E13" s="2"/>
      <c r="F13" s="19"/>
      <c r="G13" s="2"/>
      <c r="H13" s="2"/>
      <c r="I13" s="2"/>
      <c r="J13" s="19"/>
      <c r="K13" s="2"/>
      <c r="L13" s="2">
        <f t="shared" si="0"/>
        <v>161.18</v>
      </c>
      <c r="M13" s="2"/>
      <c r="N13" s="19">
        <f t="shared" si="1"/>
        <v>0</v>
      </c>
      <c r="O13" s="11"/>
      <c r="P13" s="2">
        <f>--1084.9</f>
        <v>1084.9000000000001</v>
      </c>
      <c r="Q13" s="2"/>
      <c r="R13" s="19"/>
      <c r="S13" s="2"/>
      <c r="T13" s="2"/>
      <c r="U13" s="2"/>
      <c r="V13" s="19"/>
      <c r="W13" s="2"/>
      <c r="X13" s="2">
        <f t="shared" si="2"/>
        <v>1084.9000000000001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501219</v>
      </c>
      <c r="I14" s="2"/>
      <c r="J14" s="19"/>
      <c r="K14" s="2"/>
      <c r="L14" s="2">
        <f t="shared" si="0"/>
        <v>-501219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3647731</v>
      </c>
      <c r="U14" s="2"/>
      <c r="V14" s="19"/>
      <c r="W14" s="2"/>
      <c r="X14" s="2">
        <f t="shared" si="2"/>
        <v>-3647731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--85567.69</f>
        <v>85567.69</v>
      </c>
      <c r="E15" s="2"/>
      <c r="F15" s="19"/>
      <c r="G15" s="2"/>
      <c r="H15" s="2"/>
      <c r="I15" s="2"/>
      <c r="J15" s="19"/>
      <c r="K15" s="2"/>
      <c r="L15" s="2">
        <f t="shared" si="0"/>
        <v>85567.69</v>
      </c>
      <c r="M15" s="2"/>
      <c r="N15" s="19">
        <f t="shared" si="1"/>
        <v>0</v>
      </c>
      <c r="O15" s="11"/>
      <c r="P15" s="2">
        <f>--892828.72</f>
        <v>892828.72</v>
      </c>
      <c r="Q15" s="2"/>
      <c r="R15" s="19"/>
      <c r="S15" s="2"/>
      <c r="T15" s="2"/>
      <c r="U15" s="2"/>
      <c r="V15" s="19"/>
      <c r="W15" s="2"/>
      <c r="X15" s="2">
        <f t="shared" si="2"/>
        <v>892828.72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--4436.92</f>
        <v>4436.92</v>
      </c>
      <c r="E16" s="2"/>
      <c r="F16" s="19"/>
      <c r="G16" s="2"/>
      <c r="H16" s="2"/>
      <c r="I16" s="2"/>
      <c r="J16" s="19"/>
      <c r="K16" s="2"/>
      <c r="L16" s="2">
        <f t="shared" si="0"/>
        <v>4436.92</v>
      </c>
      <c r="M16" s="2"/>
      <c r="N16" s="19">
        <f t="shared" si="1"/>
        <v>0</v>
      </c>
      <c r="O16" s="11"/>
      <c r="P16" s="2">
        <f>--47442.28</f>
        <v>47442.28</v>
      </c>
      <c r="Q16" s="2"/>
      <c r="R16" s="19"/>
      <c r="S16" s="2"/>
      <c r="T16" s="2"/>
      <c r="U16" s="2"/>
      <c r="V16" s="19"/>
      <c r="W16" s="2"/>
      <c r="X16" s="2">
        <f t="shared" si="2"/>
        <v>47442.28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46906.81</v>
      </c>
      <c r="E18" s="4"/>
      <c r="F18" s="12">
        <f t="shared" ref="F18:F21" si="4">IF(D$12=0,0,D18/D$12)</f>
        <v>0.52022845915285609</v>
      </c>
      <c r="G18" s="4"/>
      <c r="H18" s="4">
        <f>SUM(OSRRefH16x_0)</f>
        <v>133456</v>
      </c>
      <c r="I18" s="4"/>
      <c r="J18" s="12">
        <f t="shared" ref="J18:J21" si="5">IF(H$12=0,0,H18/H$12)</f>
        <v>0.26626285116885035</v>
      </c>
      <c r="K18" s="4"/>
      <c r="L18" s="4">
        <f t="shared" ref="L18:L21" si="6">+D18-H18</f>
        <v>-86549.19</v>
      </c>
      <c r="M18" s="4"/>
      <c r="N18" s="12">
        <f t="shared" ref="N18:N21" si="7">IF(H18=0,0,L18/H18)</f>
        <v>-0.64852228449826166</v>
      </c>
      <c r="O18" s="10"/>
      <c r="P18" s="4">
        <f>SUM(OSRRefP16x_0)</f>
        <v>415890.18</v>
      </c>
      <c r="Q18" s="4"/>
      <c r="R18" s="12">
        <f t="shared" ref="R18:R21" si="8">IF(P$12=0,0,P18/P$12)</f>
        <v>0.441799090014733</v>
      </c>
      <c r="S18" s="4"/>
      <c r="T18" s="4">
        <f>SUM(OSRRefT16x_0)</f>
        <v>984755</v>
      </c>
      <c r="U18" s="4"/>
      <c r="V18" s="12">
        <f t="shared" ref="V18:V21" si="9">IF(T$12=0,0,T18/T$12)</f>
        <v>0.26996371168817002</v>
      </c>
      <c r="W18" s="4"/>
      <c r="X18" s="4">
        <f t="shared" ref="X18:X21" si="10">+P18-T18</f>
        <v>-568864.82000000007</v>
      </c>
      <c r="Y18" s="4"/>
      <c r="Z18" s="12">
        <f t="shared" ref="Z18:Z21" si="11">IF(T18=0,0,X18/T18)</f>
        <v>-0.57767142081025236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133456</v>
      </c>
      <c r="I19" s="2"/>
      <c r="J19" s="19">
        <f t="shared" si="5"/>
        <v>0.26626285116885035</v>
      </c>
      <c r="K19" s="2"/>
      <c r="L19" s="2">
        <f t="shared" si="6"/>
        <v>-133456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984755</v>
      </c>
      <c r="U19" s="2"/>
      <c r="V19" s="19">
        <f t="shared" si="9"/>
        <v>0.26996371168817002</v>
      </c>
      <c r="W19" s="2"/>
      <c r="X19" s="2">
        <f t="shared" si="10"/>
        <v>-984755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46411.81</v>
      </c>
      <c r="E20" s="2"/>
      <c r="F20" s="19">
        <f t="shared" si="4"/>
        <v>0.51473857213473095</v>
      </c>
      <c r="G20" s="2"/>
      <c r="H20" s="2"/>
      <c r="I20" s="2"/>
      <c r="J20" s="19">
        <f t="shared" si="5"/>
        <v>0</v>
      </c>
      <c r="K20" s="2"/>
      <c r="L20" s="2">
        <f t="shared" si="6"/>
        <v>46411.81</v>
      </c>
      <c r="M20" s="2"/>
      <c r="N20" s="19">
        <f t="shared" si="7"/>
        <v>0</v>
      </c>
      <c r="O20" s="11"/>
      <c r="P20" s="2">
        <v>419669.88</v>
      </c>
      <c r="Q20" s="2"/>
      <c r="R20" s="19">
        <f t="shared" si="8"/>
        <v>0.44581425579847112</v>
      </c>
      <c r="S20" s="2"/>
      <c r="T20" s="2"/>
      <c r="U20" s="2"/>
      <c r="V20" s="19">
        <f t="shared" si="9"/>
        <v>0</v>
      </c>
      <c r="W20" s="2"/>
      <c r="X20" s="2">
        <f t="shared" si="10"/>
        <v>419669.88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495</v>
      </c>
      <c r="E21" s="2"/>
      <c r="F21" s="19">
        <f t="shared" si="4"/>
        <v>5.4898870181251678E-3</v>
      </c>
      <c r="G21" s="2"/>
      <c r="H21" s="2"/>
      <c r="I21" s="2"/>
      <c r="J21" s="19">
        <f t="shared" si="5"/>
        <v>0</v>
      </c>
      <c r="K21" s="2"/>
      <c r="L21" s="2">
        <f t="shared" si="6"/>
        <v>495</v>
      </c>
      <c r="M21" s="2"/>
      <c r="N21" s="19">
        <f t="shared" si="7"/>
        <v>0</v>
      </c>
      <c r="O21" s="11"/>
      <c r="P21" s="2">
        <v>-3779.7</v>
      </c>
      <c r="Q21" s="2"/>
      <c r="R21" s="19">
        <f t="shared" si="8"/>
        <v>-4.0151657837381163E-3</v>
      </c>
      <c r="S21" s="2"/>
      <c r="T21" s="2"/>
      <c r="U21" s="2"/>
      <c r="V21" s="19">
        <f t="shared" si="9"/>
        <v>0</v>
      </c>
      <c r="W21" s="2"/>
      <c r="X21" s="2">
        <f t="shared" si="10"/>
        <v>-3779.7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1">
        <f>D12-D18</f>
        <v>43258.979999999996</v>
      </c>
      <c r="E23" s="14"/>
      <c r="F23" s="20">
        <f>IF(D$12=0,0,D23/D$12)</f>
        <v>0.47977154084714391</v>
      </c>
      <c r="G23" s="14"/>
      <c r="H23" s="21">
        <f>H12-H18</f>
        <v>367763</v>
      </c>
      <c r="I23" s="14"/>
      <c r="J23" s="20">
        <f>IF(H$12=0,0,H23/H$12)</f>
        <v>0.73373714883114971</v>
      </c>
      <c r="K23" s="16"/>
      <c r="L23" s="21">
        <f>+D23-H23</f>
        <v>-324504.02</v>
      </c>
      <c r="M23" s="16"/>
      <c r="N23" s="20">
        <f>IF(H23=0,0,L23/H23)</f>
        <v>-0.88237266935499226</v>
      </c>
      <c r="O23" s="29"/>
      <c r="P23" s="21">
        <f>P12-P18</f>
        <v>525465.72</v>
      </c>
      <c r="Q23" s="14"/>
      <c r="R23" s="20">
        <f>IF(P$12=0,0,P23/P$12)</f>
        <v>0.55820090998526695</v>
      </c>
      <c r="S23" s="14"/>
      <c r="T23" s="21">
        <f>T12-T18</f>
        <v>2662976</v>
      </c>
      <c r="U23" s="14"/>
      <c r="V23" s="20">
        <f>IF(T$12=0,0,T23/T$12)</f>
        <v>0.73003628831182998</v>
      </c>
      <c r="W23" s="16"/>
      <c r="X23" s="21">
        <f>+P23-T23</f>
        <v>-2137510.2800000003</v>
      </c>
      <c r="Y23" s="16"/>
      <c r="Z23" s="20">
        <f>IF(T23=0,0,X23/T23)</f>
        <v>-0.80267726032829445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245981.20999999996</v>
      </c>
      <c r="E25" s="22"/>
      <c r="F25" s="32">
        <f t="shared" ref="F25:F36" si="12">IF(D$12=0,0,D25/D$12)</f>
        <v>2.7280990939024656</v>
      </c>
      <c r="G25" s="22"/>
      <c r="H25" s="22">
        <f>SUM(OSRRefH22x_0)</f>
        <v>413089.0416481577</v>
      </c>
      <c r="I25" s="22"/>
      <c r="J25" s="32">
        <f t="shared" ref="J25:J36" si="13">IF(H$12=0,0,H25/H$12)</f>
        <v>0.82416875985977722</v>
      </c>
      <c r="K25" s="4"/>
      <c r="L25" s="22">
        <f t="shared" ref="L25:L36" si="14">+D25-H25</f>
        <v>-167107.83164815773</v>
      </c>
      <c r="M25" s="4"/>
      <c r="N25" s="32">
        <f t="shared" ref="N25:N36" si="15">IF(H25=0,0,L25/H25)</f>
        <v>-0.40453223106917779</v>
      </c>
      <c r="O25" s="10"/>
      <c r="P25" s="22">
        <f>SUM(OSRRefP22x_0)</f>
        <v>2267346.9099999992</v>
      </c>
      <c r="Q25" s="22"/>
      <c r="R25" s="32">
        <f t="shared" ref="R25:R36" si="16">IF(P$12=0,0,P25/P$12)</f>
        <v>2.4085969079282332</v>
      </c>
      <c r="S25" s="22"/>
      <c r="T25" s="22">
        <f>SUM(OSRRefT22x_0)</f>
        <v>3695290.6812381372</v>
      </c>
      <c r="U25" s="22"/>
      <c r="V25" s="32">
        <f t="shared" ref="V25:V36" si="17">IF(T$12=0,0,T25/T$12)</f>
        <v>1.0130381547428078</v>
      </c>
      <c r="W25" s="4"/>
      <c r="X25" s="22">
        <f t="shared" ref="X25:X36" si="18">+P25-T25</f>
        <v>-1427943.771238138</v>
      </c>
      <c r="Y25" s="4"/>
      <c r="Z25" s="32">
        <f t="shared" ref="Z25:Z36" si="19">IF(T25=0,0,X25/T25)</f>
        <v>-0.38642258334050567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82804.11</v>
      </c>
      <c r="E26" s="1"/>
      <c r="F26" s="5">
        <f t="shared" si="12"/>
        <v>0.91835395663920882</v>
      </c>
      <c r="G26" s="1"/>
      <c r="H26" s="1">
        <f>SUM(OSRRefH22_0x_0)</f>
        <v>116248.68863008074</v>
      </c>
      <c r="I26" s="1"/>
      <c r="J26" s="5">
        <f t="shared" si="13"/>
        <v>0.23193192722159522</v>
      </c>
      <c r="K26" s="1"/>
      <c r="L26" s="1">
        <f t="shared" si="14"/>
        <v>-33444.578630080738</v>
      </c>
      <c r="M26" s="1"/>
      <c r="N26" s="5">
        <f t="shared" si="15"/>
        <v>-0.28769854545633605</v>
      </c>
      <c r="O26" s="13"/>
      <c r="P26" s="1">
        <f>SUM(OSRRefP22_0x_0)</f>
        <v>773204.69</v>
      </c>
      <c r="Q26" s="1"/>
      <c r="R26" s="5">
        <f t="shared" si="16"/>
        <v>0.82137339342112792</v>
      </c>
      <c r="S26" s="1"/>
      <c r="T26" s="1">
        <f>SUM(OSRRefT22_0x_0)</f>
        <v>1049088.0362900603</v>
      </c>
      <c r="U26" s="1"/>
      <c r="V26" s="5">
        <f t="shared" si="17"/>
        <v>0.28760016467498845</v>
      </c>
      <c r="W26" s="1"/>
      <c r="X26" s="1">
        <f t="shared" si="18"/>
        <v>-275883.34629006032</v>
      </c>
      <c r="Y26" s="1"/>
      <c r="Z26" s="5">
        <f t="shared" si="19"/>
        <v>-0.26297444708804391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11026.35</v>
      </c>
      <c r="E27" s="2"/>
      <c r="F27" s="6">
        <f t="shared" si="12"/>
        <v>0.12228972873192816</v>
      </c>
      <c r="G27" s="2"/>
      <c r="H27" s="7">
        <v>12331.651895446201</v>
      </c>
      <c r="I27" s="2"/>
      <c r="J27" s="6">
        <f t="shared" si="13"/>
        <v>2.4603320894551486E-2</v>
      </c>
      <c r="K27" s="2"/>
      <c r="L27" s="7">
        <f t="shared" si="14"/>
        <v>-1305.3018954462004</v>
      </c>
      <c r="M27" s="2"/>
      <c r="N27" s="6">
        <f t="shared" si="15"/>
        <v>-0.10584971960879133</v>
      </c>
      <c r="O27" s="11"/>
      <c r="P27" s="7">
        <v>82188.009999999995</v>
      </c>
      <c r="Q27" s="2"/>
      <c r="R27" s="6">
        <f t="shared" si="16"/>
        <v>8.7308115878383497E-2</v>
      </c>
      <c r="S27" s="2"/>
      <c r="T27" s="7">
        <v>109270.688825926</v>
      </c>
      <c r="U27" s="2"/>
      <c r="V27" s="6">
        <f t="shared" si="17"/>
        <v>2.9955796857258937E-2</v>
      </c>
      <c r="W27" s="2"/>
      <c r="X27" s="7">
        <f t="shared" si="18"/>
        <v>-27082.678825926007</v>
      </c>
      <c r="Y27" s="2"/>
      <c r="Z27" s="6">
        <f t="shared" si="19"/>
        <v>-0.24784943809652513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4428.88</v>
      </c>
      <c r="E28" s="2"/>
      <c r="F28" s="6">
        <f t="shared" si="12"/>
        <v>4.9119294579463013E-2</v>
      </c>
      <c r="G28" s="2"/>
      <c r="H28" s="7">
        <v>8850.11415915</v>
      </c>
      <c r="I28" s="2"/>
      <c r="J28" s="6">
        <f t="shared" si="13"/>
        <v>1.7657180113184057E-2</v>
      </c>
      <c r="K28" s="2"/>
      <c r="L28" s="7">
        <f t="shared" si="14"/>
        <v>-4421.2341591499999</v>
      </c>
      <c r="M28" s="2"/>
      <c r="N28" s="6">
        <f t="shared" si="15"/>
        <v>-0.49956803716243053</v>
      </c>
      <c r="O28" s="11"/>
      <c r="P28" s="7">
        <v>48775.44</v>
      </c>
      <c r="Q28" s="2"/>
      <c r="R28" s="6">
        <f t="shared" si="16"/>
        <v>5.1814026979594009E-2</v>
      </c>
      <c r="S28" s="2"/>
      <c r="T28" s="7">
        <v>76682.886695249996</v>
      </c>
      <c r="U28" s="2"/>
      <c r="V28" s="6">
        <f t="shared" si="17"/>
        <v>2.1022078298879494E-2</v>
      </c>
      <c r="W28" s="2"/>
      <c r="X28" s="7">
        <f t="shared" si="18"/>
        <v>-27907.446695249993</v>
      </c>
      <c r="Y28" s="2"/>
      <c r="Z28" s="6">
        <f t="shared" si="19"/>
        <v>-0.36393317854815027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44853.96</v>
      </c>
      <c r="E29" s="2"/>
      <c r="F29" s="6">
        <f t="shared" si="12"/>
        <v>0.49746095498081927</v>
      </c>
      <c r="G29" s="2"/>
      <c r="H29" s="7">
        <v>69691.538461538395</v>
      </c>
      <c r="I29" s="2"/>
      <c r="J29" s="6">
        <f t="shared" si="13"/>
        <v>0.1390440874379032</v>
      </c>
      <c r="K29" s="2"/>
      <c r="L29" s="7">
        <f t="shared" si="14"/>
        <v>-24837.578461538396</v>
      </c>
      <c r="M29" s="2"/>
      <c r="N29" s="6">
        <f t="shared" si="15"/>
        <v>-0.35639302862062433</v>
      </c>
      <c r="O29" s="11"/>
      <c r="P29" s="7">
        <v>448686.85</v>
      </c>
      <c r="Q29" s="2"/>
      <c r="R29" s="6">
        <f t="shared" si="16"/>
        <v>0.47663890989582153</v>
      </c>
      <c r="S29" s="2"/>
      <c r="T29" s="7">
        <v>636331.53846153803</v>
      </c>
      <c r="U29" s="2"/>
      <c r="V29" s="6">
        <f t="shared" si="17"/>
        <v>0.1744458509855957</v>
      </c>
      <c r="W29" s="2"/>
      <c r="X29" s="7">
        <f t="shared" si="18"/>
        <v>-187644.68846153805</v>
      </c>
      <c r="Y29" s="2"/>
      <c r="Z29" s="6">
        <f t="shared" si="19"/>
        <v>-0.29488509860002787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268.93</v>
      </c>
      <c r="E30" s="2"/>
      <c r="F30" s="6">
        <f t="shared" si="12"/>
        <v>2.9826167995644472E-3</v>
      </c>
      <c r="G30" s="2"/>
      <c r="H30" s="7">
        <v>536.37055510000005</v>
      </c>
      <c r="I30" s="2"/>
      <c r="J30" s="6">
        <f t="shared" si="13"/>
        <v>1.0701321280717612E-3</v>
      </c>
      <c r="K30" s="2"/>
      <c r="L30" s="7">
        <f t="shared" si="14"/>
        <v>-267.44055510000004</v>
      </c>
      <c r="M30" s="2"/>
      <c r="N30" s="6">
        <f t="shared" si="15"/>
        <v>-0.49861155232531146</v>
      </c>
      <c r="O30" s="11"/>
      <c r="P30" s="7">
        <v>3044.5</v>
      </c>
      <c r="Q30" s="2"/>
      <c r="R30" s="6">
        <f t="shared" si="16"/>
        <v>3.2341646767179129E-3</v>
      </c>
      <c r="S30" s="2"/>
      <c r="T30" s="7">
        <v>4647.4476784999997</v>
      </c>
      <c r="U30" s="2"/>
      <c r="V30" s="6">
        <f t="shared" si="17"/>
        <v>1.274065351447242E-3</v>
      </c>
      <c r="W30" s="2"/>
      <c r="X30" s="7">
        <f t="shared" si="18"/>
        <v>-1602.9476784999997</v>
      </c>
      <c r="Y30" s="2"/>
      <c r="Z30" s="6">
        <f t="shared" si="19"/>
        <v>-0.34490924683575214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3594.3</v>
      </c>
      <c r="E31" s="2"/>
      <c r="F31" s="6">
        <f t="shared" si="12"/>
        <v>3.9863234160095538E-2</v>
      </c>
      <c r="G31" s="2"/>
      <c r="H31" s="7">
        <v>5753.9292307692403</v>
      </c>
      <c r="I31" s="2"/>
      <c r="J31" s="6">
        <f t="shared" si="13"/>
        <v>1.1479870537168863E-2</v>
      </c>
      <c r="K31" s="2"/>
      <c r="L31" s="7">
        <f t="shared" si="14"/>
        <v>-2159.6292307692402</v>
      </c>
      <c r="M31" s="2"/>
      <c r="N31" s="6">
        <f t="shared" si="15"/>
        <v>-0.37533121179533874</v>
      </c>
      <c r="O31" s="11"/>
      <c r="P31" s="7">
        <v>39738.68</v>
      </c>
      <c r="Q31" s="2"/>
      <c r="R31" s="6">
        <f t="shared" si="16"/>
        <v>4.2214299607619181E-2</v>
      </c>
      <c r="S31" s="2"/>
      <c r="T31" s="7">
        <v>50634.577230769297</v>
      </c>
      <c r="U31" s="2"/>
      <c r="V31" s="6">
        <f t="shared" si="17"/>
        <v>1.388111602274655E-2</v>
      </c>
      <c r="W31" s="2"/>
      <c r="X31" s="7">
        <f t="shared" si="18"/>
        <v>-10895.897230769297</v>
      </c>
      <c r="Y31" s="2"/>
      <c r="Z31" s="6">
        <f t="shared" si="19"/>
        <v>-0.21518689059278148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1408.97</v>
      </c>
      <c r="E33" s="2"/>
      <c r="F33" s="6">
        <f t="shared" si="12"/>
        <v>1.5626436589753167E-2</v>
      </c>
      <c r="G33" s="2"/>
      <c r="H33" s="7"/>
      <c r="I33" s="2"/>
      <c r="J33" s="6">
        <f t="shared" si="13"/>
        <v>0</v>
      </c>
      <c r="K33" s="2"/>
      <c r="L33" s="7">
        <f t="shared" si="14"/>
        <v>1408.97</v>
      </c>
      <c r="M33" s="2"/>
      <c r="N33" s="6">
        <f t="shared" si="15"/>
        <v>0</v>
      </c>
      <c r="O33" s="11"/>
      <c r="P33" s="7">
        <v>15402.89</v>
      </c>
      <c r="Q33" s="2"/>
      <c r="R33" s="6">
        <f t="shared" si="16"/>
        <v>1.6362451225939094E-2</v>
      </c>
      <c r="S33" s="2"/>
      <c r="T33" s="7"/>
      <c r="U33" s="2"/>
      <c r="V33" s="6">
        <f t="shared" si="17"/>
        <v>0</v>
      </c>
      <c r="W33" s="2"/>
      <c r="X33" s="7">
        <f t="shared" si="18"/>
        <v>15402.89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9052.56</v>
      </c>
      <c r="E34" s="2"/>
      <c r="F34" s="6">
        <f t="shared" si="12"/>
        <v>0.10039905378747306</v>
      </c>
      <c r="G34" s="2"/>
      <c r="H34" s="7">
        <v>8445.1098461538404</v>
      </c>
      <c r="I34" s="2"/>
      <c r="J34" s="6">
        <f t="shared" si="13"/>
        <v>1.6849141485366356E-2</v>
      </c>
      <c r="K34" s="2"/>
      <c r="L34" s="7">
        <f t="shared" si="14"/>
        <v>607.45015384615908</v>
      </c>
      <c r="M34" s="2"/>
      <c r="N34" s="6">
        <f t="shared" si="15"/>
        <v>7.1929218791962818E-2</v>
      </c>
      <c r="O34" s="11"/>
      <c r="P34" s="7">
        <v>66990.45</v>
      </c>
      <c r="Q34" s="2"/>
      <c r="R34" s="6">
        <f t="shared" si="16"/>
        <v>7.1163786193935791E-2</v>
      </c>
      <c r="S34" s="2"/>
      <c r="T34" s="7">
        <v>74316.9666461538</v>
      </c>
      <c r="U34" s="2"/>
      <c r="V34" s="6">
        <f t="shared" si="17"/>
        <v>2.0373477826669182E-2</v>
      </c>
      <c r="W34" s="2"/>
      <c r="X34" s="7">
        <f t="shared" si="18"/>
        <v>-7326.5166461538029</v>
      </c>
      <c r="Y34" s="2"/>
      <c r="Z34" s="6">
        <f t="shared" si="19"/>
        <v>-9.8584710555230659E-2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6113.16</v>
      </c>
      <c r="E35" s="2"/>
      <c r="F35" s="6">
        <f t="shared" si="12"/>
        <v>6.779910651256979E-2</v>
      </c>
      <c r="G35" s="2"/>
      <c r="H35" s="7">
        <v>6964.97448192307</v>
      </c>
      <c r="I35" s="2"/>
      <c r="J35" s="6">
        <f t="shared" si="13"/>
        <v>1.3896070344346622E-2</v>
      </c>
      <c r="K35" s="2"/>
      <c r="L35" s="7">
        <f t="shared" si="14"/>
        <v>-851.81448192307016</v>
      </c>
      <c r="M35" s="2"/>
      <c r="N35" s="6">
        <f t="shared" si="15"/>
        <v>-0.12229972760616335</v>
      </c>
      <c r="O35" s="11"/>
      <c r="P35" s="7">
        <v>45349.46</v>
      </c>
      <c r="Q35" s="2"/>
      <c r="R35" s="6">
        <f t="shared" si="16"/>
        <v>4.8174617060348798E-2</v>
      </c>
      <c r="S35" s="2"/>
      <c r="T35" s="7">
        <v>60453.930751922999</v>
      </c>
      <c r="U35" s="2"/>
      <c r="V35" s="6">
        <f t="shared" si="17"/>
        <v>1.657302327170589E-2</v>
      </c>
      <c r="W35" s="2"/>
      <c r="X35" s="7">
        <f t="shared" si="18"/>
        <v>-15104.470751923</v>
      </c>
      <c r="Y35" s="2"/>
      <c r="Z35" s="6">
        <f t="shared" si="19"/>
        <v>-0.24985092886524235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2057</v>
      </c>
      <c r="E36" s="2"/>
      <c r="F36" s="6">
        <f t="shared" si="12"/>
        <v>2.2813530497542363E-2</v>
      </c>
      <c r="G36" s="2"/>
      <c r="H36" s="7">
        <v>3675</v>
      </c>
      <c r="I36" s="2"/>
      <c r="J36" s="6">
        <f t="shared" si="13"/>
        <v>7.3321242810029151E-3</v>
      </c>
      <c r="K36" s="2"/>
      <c r="L36" s="7">
        <f t="shared" si="14"/>
        <v>-1618</v>
      </c>
      <c r="M36" s="2"/>
      <c r="N36" s="6">
        <f t="shared" si="15"/>
        <v>-0.4402721088435374</v>
      </c>
      <c r="O36" s="11"/>
      <c r="P36" s="7">
        <v>23028.41</v>
      </c>
      <c r="Q36" s="2"/>
      <c r="R36" s="6">
        <f t="shared" si="16"/>
        <v>2.4463021902768122E-2</v>
      </c>
      <c r="S36" s="2"/>
      <c r="T36" s="7">
        <v>36750</v>
      </c>
      <c r="U36" s="2"/>
      <c r="V36" s="6">
        <f t="shared" si="17"/>
        <v>1.0074756060685397E-2</v>
      </c>
      <c r="W36" s="2"/>
      <c r="X36" s="7">
        <f t="shared" si="18"/>
        <v>-13721.59</v>
      </c>
      <c r="Y36" s="2"/>
      <c r="Z36" s="6">
        <f t="shared" si="19"/>
        <v>-0.37337659863945577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116919.33</v>
      </c>
      <c r="E37" s="1"/>
      <c r="F37" s="5">
        <f t="shared" ref="F37:F47" si="20">IF(D$12=0,0,D37/D$12)</f>
        <v>1.2967149736058432</v>
      </c>
      <c r="G37" s="1"/>
      <c r="H37" s="1">
        <f>SUM(OSRRefH22_1x_0)</f>
        <v>191602.35301807689</v>
      </c>
      <c r="I37" s="1"/>
      <c r="J37" s="5">
        <f t="shared" ref="J37:J47" si="21">IF(H$12=0,0,H37/H$12)</f>
        <v>0.38227272513228128</v>
      </c>
      <c r="K37" s="1"/>
      <c r="L37" s="1">
        <f t="shared" ref="L37:L47" si="22">+D37-H37</f>
        <v>-74683.023018076885</v>
      </c>
      <c r="M37" s="1"/>
      <c r="N37" s="5">
        <f t="shared" ref="N37:N47" si="23">IF(H37=0,0,L37/H37)</f>
        <v>-0.38978134580127444</v>
      </c>
      <c r="O37" s="13"/>
      <c r="P37" s="1">
        <f>SUM(OSRRefP22_1x_0)</f>
        <v>1068221.18</v>
      </c>
      <c r="Q37" s="1"/>
      <c r="R37" s="5">
        <f t="shared" ref="R37:R47" si="24">IF(P$12=0,0,P37/P$12)</f>
        <v>1.1347686671959032</v>
      </c>
      <c r="S37" s="1"/>
      <c r="T37" s="1">
        <f>SUM(OSRRefT22_1x_0)</f>
        <v>1658397.6449480769</v>
      </c>
      <c r="U37" s="1"/>
      <c r="V37" s="5">
        <f t="shared" ref="V37:V47" si="25">IF(T$12=0,0,T37/T$12)</f>
        <v>0.45463814216236803</v>
      </c>
      <c r="W37" s="1"/>
      <c r="X37" s="1">
        <f t="shared" ref="X37:X47" si="26">+P37-T37</f>
        <v>-590176.46494807699</v>
      </c>
      <c r="Y37" s="1"/>
      <c r="Z37" s="5">
        <f t="shared" ref="Z37:Z47" si="27">IF(T37=0,0,X37/T37)</f>
        <v>-0.35587150448863242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>
        <v>8959.42</v>
      </c>
      <c r="E38" s="2"/>
      <c r="F38" s="6">
        <f t="shared" si="20"/>
        <v>9.9366067773597952E-2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8959.42</v>
      </c>
      <c r="M38" s="2"/>
      <c r="N38" s="6">
        <f t="shared" si="23"/>
        <v>0</v>
      </c>
      <c r="O38" s="11"/>
      <c r="P38" s="7">
        <v>91164.32</v>
      </c>
      <c r="Q38" s="2"/>
      <c r="R38" s="6">
        <f t="shared" si="24"/>
        <v>9.6843627367715027E-2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91164.32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31093.77</v>
      </c>
      <c r="E39" s="2"/>
      <c r="F39" s="6">
        <f t="shared" si="20"/>
        <v>0.34485107932842379</v>
      </c>
      <c r="G39" s="2"/>
      <c r="H39" s="7">
        <v>60354.651923076897</v>
      </c>
      <c r="I39" s="2"/>
      <c r="J39" s="6">
        <f t="shared" si="21"/>
        <v>0.1204157302956929</v>
      </c>
      <c r="K39" s="2"/>
      <c r="L39" s="7">
        <f t="shared" si="22"/>
        <v>-29260.881923076897</v>
      </c>
      <c r="M39" s="2"/>
      <c r="N39" s="6">
        <f t="shared" si="23"/>
        <v>-0.48481568513344131</v>
      </c>
      <c r="O39" s="11"/>
      <c r="P39" s="7">
        <v>290362.64</v>
      </c>
      <c r="Q39" s="2"/>
      <c r="R39" s="6">
        <f t="shared" si="24"/>
        <v>0.30845150064922311</v>
      </c>
      <c r="S39" s="2"/>
      <c r="T39" s="7">
        <v>531120.93692307698</v>
      </c>
      <c r="U39" s="2"/>
      <c r="V39" s="6">
        <f t="shared" si="25"/>
        <v>0.14560309872714763</v>
      </c>
      <c r="W39" s="2"/>
      <c r="X39" s="7">
        <f t="shared" si="26"/>
        <v>-240758.29692307697</v>
      </c>
      <c r="Y39" s="2"/>
      <c r="Z39" s="6">
        <f t="shared" si="27"/>
        <v>-0.45330221459137532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66076.2</v>
      </c>
      <c r="E41" s="2"/>
      <c r="F41" s="6">
        <f t="shared" si="20"/>
        <v>0.73283004563038823</v>
      </c>
      <c r="G41" s="2"/>
      <c r="H41" s="7">
        <v>87059.062399999995</v>
      </c>
      <c r="I41" s="2"/>
      <c r="J41" s="6">
        <f t="shared" si="21"/>
        <v>0.17369465722568378</v>
      </c>
      <c r="K41" s="2"/>
      <c r="L41" s="7">
        <f t="shared" si="22"/>
        <v>-20982.862399999998</v>
      </c>
      <c r="M41" s="2"/>
      <c r="N41" s="6">
        <f t="shared" si="23"/>
        <v>-0.2410187041021935</v>
      </c>
      <c r="O41" s="11"/>
      <c r="P41" s="7">
        <v>462448.16</v>
      </c>
      <c r="Q41" s="2"/>
      <c r="R41" s="6">
        <f t="shared" si="24"/>
        <v>0.491257514825158</v>
      </c>
      <c r="S41" s="2"/>
      <c r="T41" s="7">
        <v>761658.94912</v>
      </c>
      <c r="U41" s="2"/>
      <c r="V41" s="6">
        <f t="shared" si="25"/>
        <v>0.20880348609039429</v>
      </c>
      <c r="W41" s="2"/>
      <c r="X41" s="7">
        <f t="shared" si="26"/>
        <v>-299210.78912000003</v>
      </c>
      <c r="Y41" s="2"/>
      <c r="Z41" s="6">
        <f t="shared" si="27"/>
        <v>-0.39284090269759192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>
        <v>10614.88</v>
      </c>
      <c r="E42" s="2"/>
      <c r="F42" s="6">
        <f t="shared" si="20"/>
        <v>0.11772624628476056</v>
      </c>
      <c r="G42" s="2"/>
      <c r="H42" s="7">
        <v>9712.7006949999995</v>
      </c>
      <c r="I42" s="2"/>
      <c r="J42" s="6">
        <f t="shared" si="21"/>
        <v>1.9378157442156024E-2</v>
      </c>
      <c r="K42" s="2"/>
      <c r="L42" s="7">
        <f t="shared" si="22"/>
        <v>902.17930499999966</v>
      </c>
      <c r="M42" s="2"/>
      <c r="N42" s="6">
        <f t="shared" si="23"/>
        <v>9.2886554762717288E-2</v>
      </c>
      <c r="O42" s="11"/>
      <c r="P42" s="7">
        <v>99974.07</v>
      </c>
      <c r="Q42" s="2"/>
      <c r="R42" s="6">
        <f t="shared" si="24"/>
        <v>0.10620220258884021</v>
      </c>
      <c r="S42" s="2"/>
      <c r="T42" s="7">
        <v>81810.223404999997</v>
      </c>
      <c r="U42" s="2"/>
      <c r="V42" s="6">
        <f t="shared" si="25"/>
        <v>2.2427701879606802E-2</v>
      </c>
      <c r="W42" s="2"/>
      <c r="X42" s="7">
        <f t="shared" si="26"/>
        <v>18163.84659500001</v>
      </c>
      <c r="Y42" s="2"/>
      <c r="Z42" s="6">
        <f t="shared" si="27"/>
        <v>0.22202416567279401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>
        <v>847.56</v>
      </c>
      <c r="E43" s="2"/>
      <c r="F43" s="6">
        <f t="shared" si="20"/>
        <v>9.4000174567316491E-3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847.56</v>
      </c>
      <c r="M43" s="2"/>
      <c r="N43" s="6">
        <f t="shared" si="23"/>
        <v>0</v>
      </c>
      <c r="O43" s="11"/>
      <c r="P43" s="7">
        <v>2174.52</v>
      </c>
      <c r="Q43" s="2"/>
      <c r="R43" s="6">
        <f t="shared" si="24"/>
        <v>2.3099871153938697E-3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2174.52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-672.5</v>
      </c>
      <c r="E44" s="2"/>
      <c r="F44" s="6">
        <f t="shared" si="20"/>
        <v>-7.4584828680589396E-3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-672.5</v>
      </c>
      <c r="M44" s="2"/>
      <c r="N44" s="6">
        <f t="shared" si="23"/>
        <v>0</v>
      </c>
      <c r="O44" s="11"/>
      <c r="P44" s="7">
        <v>111466.59</v>
      </c>
      <c r="Q44" s="2"/>
      <c r="R44" s="6">
        <f t="shared" si="24"/>
        <v>0.1184106776193786</v>
      </c>
      <c r="S44" s="2"/>
      <c r="T44" s="7">
        <v>13860.33</v>
      </c>
      <c r="U44" s="2"/>
      <c r="V44" s="6">
        <f t="shared" si="25"/>
        <v>3.7997127529414859E-3</v>
      </c>
      <c r="W44" s="2"/>
      <c r="X44" s="7">
        <f t="shared" si="26"/>
        <v>97606.26</v>
      </c>
      <c r="Y44" s="2"/>
      <c r="Z44" s="6">
        <f t="shared" si="27"/>
        <v>7.0421310315122367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34475.938000000002</v>
      </c>
      <c r="I45" s="2"/>
      <c r="J45" s="6">
        <f t="shared" si="21"/>
        <v>6.8784180168748599E-2</v>
      </c>
      <c r="K45" s="2"/>
      <c r="L45" s="7">
        <f t="shared" si="22"/>
        <v>-34475.938000000002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1.1293157030194423E-2</v>
      </c>
      <c r="S45" s="2"/>
      <c r="T45" s="7">
        <v>269947.20549999998</v>
      </c>
      <c r="U45" s="2"/>
      <c r="V45" s="6">
        <f t="shared" si="25"/>
        <v>7.4004142712277843E-2</v>
      </c>
      <c r="W45" s="2"/>
      <c r="X45" s="7">
        <f t="shared" si="26"/>
        <v>-259316.32549999998</v>
      </c>
      <c r="Y45" s="2"/>
      <c r="Z45" s="6">
        <f t="shared" si="27"/>
        <v>-0.96061866993470324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122.76</v>
      </c>
      <c r="E48" s="1"/>
      <c r="F48" s="5">
        <f t="shared" ref="F48:F72" si="28">IF(D$12=0,0,D48/D$12)</f>
        <v>1.3614919804950415E-3</v>
      </c>
      <c r="G48" s="1"/>
      <c r="H48" s="1">
        <f>SUM(OSRRefH22_2x_0)</f>
        <v>1169</v>
      </c>
      <c r="I48" s="1"/>
      <c r="J48" s="5">
        <f t="shared" ref="J48:J72" si="29">IF(H$12=0,0,H48/H$12)</f>
        <v>2.3323138189094987E-3</v>
      </c>
      <c r="K48" s="1"/>
      <c r="L48" s="1">
        <f t="shared" ref="L48:L72" si="30">+D48-H48</f>
        <v>-1046.24</v>
      </c>
      <c r="M48" s="1"/>
      <c r="N48" s="5">
        <f t="shared" ref="N48:N72" si="31">IF(H48=0,0,L48/H48)</f>
        <v>-0.89498716852010263</v>
      </c>
      <c r="O48" s="13"/>
      <c r="P48" s="1">
        <f>SUM(OSRRefP22_2x_0)</f>
        <v>1567.93</v>
      </c>
      <c r="Q48" s="1"/>
      <c r="R48" s="5">
        <f t="shared" ref="R48:R72" si="32">IF(P$12=0,0,P48/P$12)</f>
        <v>1.6656080872282206E-3</v>
      </c>
      <c r="S48" s="1"/>
      <c r="T48" s="1">
        <f>SUM(OSRRefT22_2x_0)</f>
        <v>11790</v>
      </c>
      <c r="U48" s="1"/>
      <c r="V48" s="5">
        <f t="shared" ref="V48:V72" si="33">IF(T$12=0,0,T48/T$12)</f>
        <v>3.2321462300811108E-3</v>
      </c>
      <c r="W48" s="1"/>
      <c r="X48" s="1">
        <f t="shared" ref="X48:X72" si="34">+P48-T48</f>
        <v>-10222.07</v>
      </c>
      <c r="Y48" s="1"/>
      <c r="Z48" s="5">
        <f t="shared" ref="Z48:Z72" si="35">IF(T48=0,0,X48/T48)</f>
        <v>-0.8670118744698897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>
        <v>122.76</v>
      </c>
      <c r="E49" s="2"/>
      <c r="F49" s="6">
        <f t="shared" si="28"/>
        <v>1.3614919804950415E-3</v>
      </c>
      <c r="G49" s="2"/>
      <c r="H49" s="7">
        <v>1169</v>
      </c>
      <c r="I49" s="2"/>
      <c r="J49" s="6">
        <f t="shared" si="29"/>
        <v>2.3323138189094987E-3</v>
      </c>
      <c r="K49" s="2"/>
      <c r="L49" s="7">
        <f t="shared" si="30"/>
        <v>-1046.24</v>
      </c>
      <c r="M49" s="2"/>
      <c r="N49" s="6">
        <f t="shared" si="31"/>
        <v>-0.89498716852010263</v>
      </c>
      <c r="O49" s="11"/>
      <c r="P49" s="7">
        <v>1567.93</v>
      </c>
      <c r="Q49" s="2"/>
      <c r="R49" s="6">
        <f t="shared" si="32"/>
        <v>1.6656080872282206E-3</v>
      </c>
      <c r="S49" s="2"/>
      <c r="T49" s="7">
        <v>11790</v>
      </c>
      <c r="U49" s="2"/>
      <c r="V49" s="6">
        <f t="shared" si="33"/>
        <v>3.2321462300811108E-3</v>
      </c>
      <c r="W49" s="2"/>
      <c r="X49" s="7">
        <f t="shared" si="34"/>
        <v>-10222.07</v>
      </c>
      <c r="Y49" s="2"/>
      <c r="Z49" s="6">
        <f t="shared" si="35"/>
        <v>-0.8670118744698897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31</v>
      </c>
      <c r="I50" s="1"/>
      <c r="J50" s="5">
        <f t="shared" si="29"/>
        <v>6.1849211622065409E-5</v>
      </c>
      <c r="K50" s="1"/>
      <c r="L50" s="1">
        <f t="shared" si="30"/>
        <v>-31</v>
      </c>
      <c r="M50" s="1"/>
      <c r="N50" s="5">
        <f t="shared" si="31"/>
        <v>-1</v>
      </c>
      <c r="O50" s="13"/>
      <c r="P50" s="1">
        <f>SUM(OSRRefP22_3x_0)</f>
        <v>53.54</v>
      </c>
      <c r="Q50" s="1"/>
      <c r="R50" s="5">
        <f t="shared" si="32"/>
        <v>5.6875407059115473E-5</v>
      </c>
      <c r="S50" s="1"/>
      <c r="T50" s="1">
        <f>SUM(OSRRefT22_3x_0)</f>
        <v>294</v>
      </c>
      <c r="U50" s="1"/>
      <c r="V50" s="5">
        <f t="shared" si="33"/>
        <v>8.0598048485483169E-5</v>
      </c>
      <c r="W50" s="1"/>
      <c r="X50" s="1">
        <f t="shared" si="34"/>
        <v>-240.46</v>
      </c>
      <c r="Y50" s="1"/>
      <c r="Z50" s="5">
        <f t="shared" si="35"/>
        <v>-0.81789115646258503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31</v>
      </c>
      <c r="I51" s="2"/>
      <c r="J51" s="6">
        <f t="shared" si="29"/>
        <v>6.1849211622065409E-5</v>
      </c>
      <c r="K51" s="2"/>
      <c r="L51" s="7">
        <f t="shared" si="30"/>
        <v>-31</v>
      </c>
      <c r="M51" s="2"/>
      <c r="N51" s="6">
        <f t="shared" si="31"/>
        <v>-1</v>
      </c>
      <c r="O51" s="11"/>
      <c r="P51" s="7">
        <v>53.54</v>
      </c>
      <c r="Q51" s="2"/>
      <c r="R51" s="6">
        <f t="shared" si="32"/>
        <v>5.6875407059115473E-5</v>
      </c>
      <c r="S51" s="2"/>
      <c r="T51" s="7">
        <v>294</v>
      </c>
      <c r="U51" s="2"/>
      <c r="V51" s="6">
        <f t="shared" si="33"/>
        <v>8.0598048485483169E-5</v>
      </c>
      <c r="W51" s="2"/>
      <c r="X51" s="7">
        <f t="shared" si="34"/>
        <v>-240.46</v>
      </c>
      <c r="Y51" s="2"/>
      <c r="Z51" s="6">
        <f t="shared" si="35"/>
        <v>-0.81789115646258503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79.34</v>
      </c>
      <c r="E52" s="1"/>
      <c r="F52" s="5">
        <f t="shared" si="28"/>
        <v>8.7993461821828448E-4</v>
      </c>
      <c r="G52" s="1"/>
      <c r="H52" s="1">
        <f>SUM(OSRRefH22_4x_0)</f>
        <v>395</v>
      </c>
      <c r="I52" s="1"/>
      <c r="J52" s="5">
        <f t="shared" si="29"/>
        <v>7.880786642166398E-4</v>
      </c>
      <c r="K52" s="1"/>
      <c r="L52" s="1">
        <f t="shared" si="30"/>
        <v>-315.65999999999997</v>
      </c>
      <c r="M52" s="1"/>
      <c r="N52" s="5">
        <f t="shared" si="31"/>
        <v>-0.79913924050632901</v>
      </c>
      <c r="O52" s="13"/>
      <c r="P52" s="1">
        <f>SUM(OSRRefP22_4x_0)</f>
        <v>346.34</v>
      </c>
      <c r="Q52" s="1"/>
      <c r="R52" s="5">
        <f t="shared" si="32"/>
        <v>3.6791610909327703E-4</v>
      </c>
      <c r="S52" s="1"/>
      <c r="T52" s="1">
        <f>SUM(OSRRefT22_4x_0)</f>
        <v>3940</v>
      </c>
      <c r="U52" s="1"/>
      <c r="V52" s="5">
        <f t="shared" si="33"/>
        <v>1.0801235069142982E-3</v>
      </c>
      <c r="W52" s="1"/>
      <c r="X52" s="1">
        <f t="shared" si="34"/>
        <v>-3593.66</v>
      </c>
      <c r="Y52" s="1"/>
      <c r="Z52" s="5">
        <f t="shared" si="35"/>
        <v>-0.9120964467005076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>
        <v>79.34</v>
      </c>
      <c r="E53" s="2"/>
      <c r="F53" s="6">
        <f t="shared" si="28"/>
        <v>8.7993461821828448E-4</v>
      </c>
      <c r="G53" s="2"/>
      <c r="H53" s="7">
        <v>395</v>
      </c>
      <c r="I53" s="2"/>
      <c r="J53" s="6">
        <f t="shared" si="29"/>
        <v>7.880786642166398E-4</v>
      </c>
      <c r="K53" s="2"/>
      <c r="L53" s="7">
        <f t="shared" si="30"/>
        <v>-315.65999999999997</v>
      </c>
      <c r="M53" s="2"/>
      <c r="N53" s="6">
        <f t="shared" si="31"/>
        <v>-0.79913924050632901</v>
      </c>
      <c r="O53" s="11"/>
      <c r="P53" s="7">
        <v>346.34</v>
      </c>
      <c r="Q53" s="2"/>
      <c r="R53" s="6">
        <f t="shared" si="32"/>
        <v>3.6791610909327703E-4</v>
      </c>
      <c r="S53" s="2"/>
      <c r="T53" s="7">
        <v>3940</v>
      </c>
      <c r="U53" s="2"/>
      <c r="V53" s="6">
        <f t="shared" si="33"/>
        <v>1.0801235069142982E-3</v>
      </c>
      <c r="W53" s="2"/>
      <c r="X53" s="7">
        <f t="shared" si="34"/>
        <v>-3593.66</v>
      </c>
      <c r="Y53" s="2"/>
      <c r="Z53" s="6">
        <f t="shared" si="35"/>
        <v>-0.9120964467005076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758.5</v>
      </c>
      <c r="E54" s="1"/>
      <c r="F54" s="5">
        <f t="shared" si="28"/>
        <v>8.4122814207029072E-3</v>
      </c>
      <c r="G54" s="1"/>
      <c r="H54" s="1">
        <f>SUM(OSRRefH22_5x_0)</f>
        <v>213</v>
      </c>
      <c r="I54" s="1"/>
      <c r="J54" s="5">
        <f t="shared" si="29"/>
        <v>4.2496393791935263E-4</v>
      </c>
      <c r="K54" s="1"/>
      <c r="L54" s="1">
        <f t="shared" si="30"/>
        <v>545.5</v>
      </c>
      <c r="M54" s="1"/>
      <c r="N54" s="5">
        <f t="shared" si="31"/>
        <v>2.5610328638497655</v>
      </c>
      <c r="O54" s="13"/>
      <c r="P54" s="1">
        <f>SUM(OSRRefP22_5x_0)</f>
        <v>7056.56</v>
      </c>
      <c r="Q54" s="1"/>
      <c r="R54" s="5">
        <f t="shared" si="32"/>
        <v>7.4961659028216646E-3</v>
      </c>
      <c r="S54" s="1"/>
      <c r="T54" s="1">
        <f>SUM(OSRRefT22_5x_0)</f>
        <v>2130</v>
      </c>
      <c r="U54" s="1"/>
      <c r="V54" s="5">
        <f t="shared" si="33"/>
        <v>5.8392463698666382E-4</v>
      </c>
      <c r="W54" s="1"/>
      <c r="X54" s="1">
        <f t="shared" si="34"/>
        <v>4926.5600000000004</v>
      </c>
      <c r="Y54" s="1"/>
      <c r="Z54" s="5">
        <f t="shared" si="35"/>
        <v>2.3129389671361502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8"/>
        <v>8.4122814207029072E-3</v>
      </c>
      <c r="G55" s="2"/>
      <c r="H55" s="7">
        <v>213</v>
      </c>
      <c r="I55" s="2"/>
      <c r="J55" s="6">
        <f t="shared" si="29"/>
        <v>4.2496393791935263E-4</v>
      </c>
      <c r="K55" s="2"/>
      <c r="L55" s="7">
        <f t="shared" si="30"/>
        <v>545.5</v>
      </c>
      <c r="M55" s="2"/>
      <c r="N55" s="6">
        <f t="shared" si="31"/>
        <v>2.5610328638497655</v>
      </c>
      <c r="O55" s="11"/>
      <c r="P55" s="7">
        <v>7056.56</v>
      </c>
      <c r="Q55" s="2"/>
      <c r="R55" s="6">
        <f t="shared" si="32"/>
        <v>7.4961659028216646E-3</v>
      </c>
      <c r="S55" s="2"/>
      <c r="T55" s="7">
        <v>2130</v>
      </c>
      <c r="U55" s="2"/>
      <c r="V55" s="6">
        <f t="shared" si="33"/>
        <v>5.8392463698666382E-4</v>
      </c>
      <c r="W55" s="2"/>
      <c r="X55" s="7">
        <f t="shared" si="34"/>
        <v>4926.5600000000004</v>
      </c>
      <c r="Y55" s="2"/>
      <c r="Z55" s="6">
        <f t="shared" si="35"/>
        <v>2.3129389671361502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7325.88</v>
      </c>
      <c r="E56" s="1"/>
      <c r="F56" s="5">
        <f t="shared" si="28"/>
        <v>8.1248996986551109E-2</v>
      </c>
      <c r="G56" s="1"/>
      <c r="H56" s="1">
        <f>SUM(OSRRefH22_6x_0)</f>
        <v>13773</v>
      </c>
      <c r="I56" s="1"/>
      <c r="J56" s="5">
        <f t="shared" si="29"/>
        <v>2.7479006182926025E-2</v>
      </c>
      <c r="K56" s="1"/>
      <c r="L56" s="1">
        <f t="shared" si="30"/>
        <v>-6447.12</v>
      </c>
      <c r="M56" s="1"/>
      <c r="N56" s="5">
        <f t="shared" si="31"/>
        <v>-0.46809845349597035</v>
      </c>
      <c r="O56" s="13"/>
      <c r="P56" s="1">
        <f>SUM(OSRRefP22_6x_0)</f>
        <v>58305.64</v>
      </c>
      <c r="Q56" s="1"/>
      <c r="R56" s="5">
        <f t="shared" si="32"/>
        <v>6.1937934419914929E-2</v>
      </c>
      <c r="S56" s="1"/>
      <c r="T56" s="1">
        <f>SUM(OSRRefT22_6x_0)</f>
        <v>119957</v>
      </c>
      <c r="U56" s="1"/>
      <c r="V56" s="5">
        <f t="shared" si="33"/>
        <v>3.2885374497187432E-2</v>
      </c>
      <c r="W56" s="1"/>
      <c r="X56" s="1">
        <f t="shared" si="34"/>
        <v>-61651.360000000001</v>
      </c>
      <c r="Y56" s="1"/>
      <c r="Z56" s="5">
        <f t="shared" si="35"/>
        <v>-0.51394549713647386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>
        <v>7325.88</v>
      </c>
      <c r="E57" s="2"/>
      <c r="F57" s="6">
        <f t="shared" si="28"/>
        <v>8.1248996986551109E-2</v>
      </c>
      <c r="G57" s="2"/>
      <c r="H57" s="7">
        <v>13773</v>
      </c>
      <c r="I57" s="2"/>
      <c r="J57" s="6">
        <f t="shared" si="29"/>
        <v>2.7479006182926025E-2</v>
      </c>
      <c r="K57" s="2"/>
      <c r="L57" s="7">
        <f t="shared" si="30"/>
        <v>-6447.12</v>
      </c>
      <c r="M57" s="2"/>
      <c r="N57" s="6">
        <f t="shared" si="31"/>
        <v>-0.46809845349597035</v>
      </c>
      <c r="O57" s="11"/>
      <c r="P57" s="7">
        <v>58305.64</v>
      </c>
      <c r="Q57" s="2"/>
      <c r="R57" s="6">
        <f t="shared" si="32"/>
        <v>6.1937934419914929E-2</v>
      </c>
      <c r="S57" s="2"/>
      <c r="T57" s="7">
        <v>119957</v>
      </c>
      <c r="U57" s="2"/>
      <c r="V57" s="6">
        <f t="shared" si="33"/>
        <v>3.2885374497187432E-2</v>
      </c>
      <c r="W57" s="2"/>
      <c r="X57" s="7">
        <f t="shared" si="34"/>
        <v>-61651.360000000001</v>
      </c>
      <c r="Y57" s="2"/>
      <c r="Z57" s="6">
        <f t="shared" si="35"/>
        <v>-0.51394549713647386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5.9854075763289105E-4</v>
      </c>
      <c r="K58" s="1"/>
      <c r="L58" s="1">
        <f t="shared" si="30"/>
        <v>-300</v>
      </c>
      <c r="M58" s="1"/>
      <c r="N58" s="5">
        <f t="shared" si="31"/>
        <v>-1</v>
      </c>
      <c r="O58" s="13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2800</v>
      </c>
      <c r="U58" s="1"/>
      <c r="V58" s="5">
        <f t="shared" si="33"/>
        <v>7.6760046176650634E-4</v>
      </c>
      <c r="W58" s="1"/>
      <c r="X58" s="1">
        <f t="shared" si="34"/>
        <v>-2800</v>
      </c>
      <c r="Y58" s="1"/>
      <c r="Z58" s="5">
        <f t="shared" si="35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300</v>
      </c>
      <c r="I59" s="2"/>
      <c r="J59" s="6">
        <f t="shared" si="29"/>
        <v>5.9854075763289105E-4</v>
      </c>
      <c r="K59" s="2"/>
      <c r="L59" s="7">
        <f t="shared" si="30"/>
        <v>-300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2800</v>
      </c>
      <c r="U59" s="2"/>
      <c r="V59" s="6">
        <f t="shared" si="33"/>
        <v>7.6760046176650634E-4</v>
      </c>
      <c r="W59" s="2"/>
      <c r="X59" s="7">
        <f t="shared" si="34"/>
        <v>-2800</v>
      </c>
      <c r="Y59" s="2"/>
      <c r="Z59" s="6">
        <f t="shared" si="35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923.26</v>
      </c>
      <c r="E60" s="1"/>
      <c r="F60" s="5">
        <f t="shared" si="28"/>
        <v>1.0239581996675236E-2</v>
      </c>
      <c r="G60" s="1"/>
      <c r="H60" s="1">
        <f>SUM(OSRRefH22_8x_0)</f>
        <v>690</v>
      </c>
      <c r="I60" s="1"/>
      <c r="J60" s="5">
        <f t="shared" si="29"/>
        <v>1.3766437425556492E-3</v>
      </c>
      <c r="K60" s="1"/>
      <c r="L60" s="1">
        <f t="shared" si="30"/>
        <v>233.26</v>
      </c>
      <c r="M60" s="1"/>
      <c r="N60" s="5">
        <f t="shared" si="31"/>
        <v>0.33805797101449275</v>
      </c>
      <c r="O60" s="13"/>
      <c r="P60" s="1">
        <f>SUM(OSRRefP22_8x_0)</f>
        <v>5477.18</v>
      </c>
      <c r="Q60" s="1"/>
      <c r="R60" s="5">
        <f t="shared" si="32"/>
        <v>5.8183945094517388E-3</v>
      </c>
      <c r="S60" s="1"/>
      <c r="T60" s="1">
        <f>SUM(OSRRefT22_8x_0)</f>
        <v>6900</v>
      </c>
      <c r="U60" s="1"/>
      <c r="V60" s="5">
        <f t="shared" si="33"/>
        <v>1.8915868522103192E-3</v>
      </c>
      <c r="W60" s="1"/>
      <c r="X60" s="1">
        <f t="shared" si="34"/>
        <v>-1422.8199999999997</v>
      </c>
      <c r="Y60" s="1"/>
      <c r="Z60" s="5">
        <f t="shared" si="35"/>
        <v>-0.20620579710144923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923.26</v>
      </c>
      <c r="E61" s="2"/>
      <c r="F61" s="6">
        <f t="shared" si="28"/>
        <v>1.0239581996675236E-2</v>
      </c>
      <c r="G61" s="2"/>
      <c r="H61" s="7">
        <v>690</v>
      </c>
      <c r="I61" s="2"/>
      <c r="J61" s="6">
        <f t="shared" si="29"/>
        <v>1.3766437425556492E-3</v>
      </c>
      <c r="K61" s="2"/>
      <c r="L61" s="7">
        <f t="shared" si="30"/>
        <v>233.26</v>
      </c>
      <c r="M61" s="2"/>
      <c r="N61" s="6">
        <f t="shared" si="31"/>
        <v>0.33805797101449275</v>
      </c>
      <c r="O61" s="11"/>
      <c r="P61" s="7">
        <v>5477.18</v>
      </c>
      <c r="Q61" s="2"/>
      <c r="R61" s="6">
        <f t="shared" si="32"/>
        <v>5.8183945094517388E-3</v>
      </c>
      <c r="S61" s="2"/>
      <c r="T61" s="7">
        <v>6900</v>
      </c>
      <c r="U61" s="2"/>
      <c r="V61" s="6">
        <f t="shared" si="33"/>
        <v>1.8915868522103192E-3</v>
      </c>
      <c r="W61" s="2"/>
      <c r="X61" s="7">
        <f t="shared" si="34"/>
        <v>-1422.8199999999997</v>
      </c>
      <c r="Y61" s="2"/>
      <c r="Z61" s="6">
        <f t="shared" si="35"/>
        <v>-0.20620579710144923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19</v>
      </c>
      <c r="E62" s="1"/>
      <c r="F62" s="5">
        <f t="shared" si="28"/>
        <v>2.1072293604924885E-4</v>
      </c>
      <c r="G62" s="1"/>
      <c r="H62" s="1">
        <f>SUM(OSRRefH22_9x_0)</f>
        <v>430</v>
      </c>
      <c r="I62" s="1"/>
      <c r="J62" s="5">
        <f t="shared" si="29"/>
        <v>8.5790841927381044E-4</v>
      </c>
      <c r="K62" s="1"/>
      <c r="L62" s="1">
        <f t="shared" si="30"/>
        <v>-411</v>
      </c>
      <c r="M62" s="1"/>
      <c r="N62" s="5">
        <f t="shared" si="31"/>
        <v>-0.95581395348837206</v>
      </c>
      <c r="O62" s="13"/>
      <c r="P62" s="1">
        <f>SUM(OSRRefP22_9x_0)</f>
        <v>7613.75</v>
      </c>
      <c r="Q62" s="1"/>
      <c r="R62" s="5">
        <f t="shared" si="32"/>
        <v>8.088067435493845E-3</v>
      </c>
      <c r="S62" s="1"/>
      <c r="T62" s="1">
        <f>SUM(OSRRefT22_9x_0)</f>
        <v>8720</v>
      </c>
      <c r="U62" s="1"/>
      <c r="V62" s="5">
        <f t="shared" si="33"/>
        <v>2.3905271523585485E-3</v>
      </c>
      <c r="W62" s="1"/>
      <c r="X62" s="1">
        <f t="shared" si="34"/>
        <v>-1106.25</v>
      </c>
      <c r="Y62" s="1"/>
      <c r="Z62" s="5">
        <f t="shared" si="35"/>
        <v>-0.12686353211009174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>
        <v>19</v>
      </c>
      <c r="E63" s="2"/>
      <c r="F63" s="6">
        <f t="shared" si="28"/>
        <v>2.1072293604924885E-4</v>
      </c>
      <c r="G63" s="2"/>
      <c r="H63" s="7">
        <v>430</v>
      </c>
      <c r="I63" s="2"/>
      <c r="J63" s="6">
        <f t="shared" si="29"/>
        <v>8.5790841927381044E-4</v>
      </c>
      <c r="K63" s="2"/>
      <c r="L63" s="7">
        <f t="shared" si="30"/>
        <v>-411</v>
      </c>
      <c r="M63" s="2"/>
      <c r="N63" s="6">
        <f t="shared" si="31"/>
        <v>-0.95581395348837206</v>
      </c>
      <c r="O63" s="11"/>
      <c r="P63" s="7">
        <v>7613.75</v>
      </c>
      <c r="Q63" s="2"/>
      <c r="R63" s="6">
        <f t="shared" si="32"/>
        <v>8.088067435493845E-3</v>
      </c>
      <c r="S63" s="2"/>
      <c r="T63" s="7">
        <v>8720</v>
      </c>
      <c r="U63" s="2"/>
      <c r="V63" s="6">
        <f t="shared" si="33"/>
        <v>2.3905271523585485E-3</v>
      </c>
      <c r="W63" s="2"/>
      <c r="X63" s="7">
        <f t="shared" si="34"/>
        <v>-1106.25</v>
      </c>
      <c r="Y63" s="2"/>
      <c r="Z63" s="6">
        <f t="shared" si="35"/>
        <v>-0.12686353211009174</v>
      </c>
    </row>
    <row r="64" spans="1:26" s="25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SUM(OSRRefD22_10x_0)</f>
        <v>5.9</v>
      </c>
      <c r="E64" s="1"/>
      <c r="F64" s="5">
        <f t="shared" si="28"/>
        <v>6.5435016983714117E-5</v>
      </c>
      <c r="G64" s="1"/>
      <c r="H64" s="1">
        <f>SUM(OSRRefH22_10x_0)</f>
        <v>7</v>
      </c>
      <c r="I64" s="1"/>
      <c r="J64" s="5">
        <f t="shared" si="29"/>
        <v>1.3965951011434124E-5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3"/>
      <c r="P64" s="1">
        <f>SUM(OSRRefP22_10x_0)</f>
        <v>59</v>
      </c>
      <c r="Q64" s="1"/>
      <c r="R64" s="5">
        <f t="shared" si="32"/>
        <v>6.2675551297867253E-5</v>
      </c>
      <c r="S64" s="1"/>
      <c r="T64" s="1">
        <f>SUM(OSRRefT22_10x_0)</f>
        <v>70</v>
      </c>
      <c r="U64" s="1"/>
      <c r="V64" s="5">
        <f t="shared" si="33"/>
        <v>1.919001154416266E-5</v>
      </c>
      <c r="W64" s="1"/>
      <c r="X64" s="1">
        <f t="shared" si="34"/>
        <v>-11</v>
      </c>
      <c r="Y64" s="1"/>
      <c r="Z64" s="5">
        <f t="shared" si="35"/>
        <v>-0.15714285714285714</v>
      </c>
    </row>
    <row r="65" spans="1:26" s="24" customFormat="1" hidden="1" outlineLevel="2" x14ac:dyDescent="0.25">
      <c r="A65" s="26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8"/>
        <v>6.5435016983714117E-5</v>
      </c>
      <c r="G65" s="2"/>
      <c r="H65" s="7">
        <v>7</v>
      </c>
      <c r="I65" s="2"/>
      <c r="J65" s="6">
        <f t="shared" si="29"/>
        <v>1.3965951011434124E-5</v>
      </c>
      <c r="K65" s="2"/>
      <c r="L65" s="7">
        <f t="shared" si="30"/>
        <v>-1.0999999999999996</v>
      </c>
      <c r="M65" s="2"/>
      <c r="N65" s="6">
        <f t="shared" si="31"/>
        <v>-0.15714285714285708</v>
      </c>
      <c r="O65" s="11"/>
      <c r="P65" s="7">
        <v>59</v>
      </c>
      <c r="Q65" s="2"/>
      <c r="R65" s="6">
        <f t="shared" si="32"/>
        <v>6.2675551297867253E-5</v>
      </c>
      <c r="S65" s="2"/>
      <c r="T65" s="7">
        <v>70</v>
      </c>
      <c r="U65" s="2"/>
      <c r="V65" s="6">
        <f t="shared" si="33"/>
        <v>1.919001154416266E-5</v>
      </c>
      <c r="W65" s="2"/>
      <c r="X65" s="7">
        <f t="shared" si="34"/>
        <v>-11</v>
      </c>
      <c r="Y65" s="2"/>
      <c r="Z65" s="6">
        <f t="shared" si="35"/>
        <v>-0.15714285714285714</v>
      </c>
    </row>
    <row r="66" spans="1:26" s="25" customFormat="1" outlineLevel="1" collapsed="1" x14ac:dyDescent="0.25">
      <c r="A66" s="27"/>
      <c r="B66" s="13" t="str">
        <f>CONCATENATE("     ","R/H Commissions                                   ")</f>
        <v xml:space="preserve">     R/H Commissions                                   </v>
      </c>
      <c r="C66" s="13"/>
      <c r="D66" s="1">
        <f>SUM(OSRRefD22_11x_0)</f>
        <v>6627.19</v>
      </c>
      <c r="E66" s="1"/>
      <c r="F66" s="5">
        <f t="shared" si="28"/>
        <v>7.3500049187169542E-2</v>
      </c>
      <c r="G66" s="1"/>
      <c r="H66" s="1">
        <f>SUM(OSRRefH22_11x_0)</f>
        <v>40097</v>
      </c>
      <c r="I66" s="1"/>
      <c r="J66" s="5">
        <f t="shared" si="29"/>
        <v>7.9998962529353443E-2</v>
      </c>
      <c r="K66" s="1"/>
      <c r="L66" s="1">
        <f t="shared" si="30"/>
        <v>-33469.81</v>
      </c>
      <c r="M66" s="1"/>
      <c r="N66" s="5">
        <f t="shared" si="31"/>
        <v>-0.83472105145023312</v>
      </c>
      <c r="O66" s="13"/>
      <c r="P66" s="1">
        <f>SUM(OSRRefP22_11x_0)</f>
        <v>65639.789999999994</v>
      </c>
      <c r="Q66" s="1"/>
      <c r="R66" s="5">
        <f t="shared" si="32"/>
        <v>6.9728983480105658E-2</v>
      </c>
      <c r="S66" s="1"/>
      <c r="T66" s="1">
        <f>SUM(OSRRefT22_11x_0)</f>
        <v>294096</v>
      </c>
      <c r="U66" s="1"/>
      <c r="V66" s="5">
        <f t="shared" si="33"/>
        <v>8.0624366215600873E-2</v>
      </c>
      <c r="W66" s="1"/>
      <c r="X66" s="1">
        <f t="shared" si="34"/>
        <v>-228456.21000000002</v>
      </c>
      <c r="Y66" s="1"/>
      <c r="Z66" s="5">
        <f t="shared" si="35"/>
        <v>-0.77680828708992988</v>
      </c>
    </row>
    <row r="67" spans="1:26" s="24" customFormat="1" hidden="1" outlineLevel="2" x14ac:dyDescent="0.25">
      <c r="A67" s="26"/>
      <c r="B67" s="11" t="str">
        <f>CONCATENATE("          ", "6387", " - ", "COMMISSION DUE HOUSING")</f>
        <v xml:space="preserve">          6387 - COMMISSION DUE HOUSING</v>
      </c>
      <c r="C67" s="11"/>
      <c r="D67" s="7">
        <v>6627.19</v>
      </c>
      <c r="E67" s="2"/>
      <c r="F67" s="6">
        <f t="shared" si="28"/>
        <v>7.3500049187169542E-2</v>
      </c>
      <c r="G67" s="2"/>
      <c r="H67" s="7">
        <v>40097</v>
      </c>
      <c r="I67" s="2"/>
      <c r="J67" s="6">
        <f t="shared" si="29"/>
        <v>7.9998962529353443E-2</v>
      </c>
      <c r="K67" s="2"/>
      <c r="L67" s="7">
        <f t="shared" si="30"/>
        <v>-33469.81</v>
      </c>
      <c r="M67" s="2"/>
      <c r="N67" s="6">
        <f t="shared" si="31"/>
        <v>-0.83472105145023312</v>
      </c>
      <c r="O67" s="11"/>
      <c r="P67" s="7">
        <v>65639.789999999994</v>
      </c>
      <c r="Q67" s="2"/>
      <c r="R67" s="6">
        <f t="shared" si="32"/>
        <v>6.9728983480105658E-2</v>
      </c>
      <c r="S67" s="2"/>
      <c r="T67" s="7">
        <v>294096</v>
      </c>
      <c r="U67" s="2"/>
      <c r="V67" s="6">
        <f t="shared" si="33"/>
        <v>8.0624366215600873E-2</v>
      </c>
      <c r="W67" s="2"/>
      <c r="X67" s="7">
        <f t="shared" si="34"/>
        <v>-228456.21000000002</v>
      </c>
      <c r="Y67" s="2"/>
      <c r="Z67" s="6">
        <f t="shared" si="35"/>
        <v>-0.77680828708992988</v>
      </c>
    </row>
    <row r="68" spans="1:26" s="25" customFormat="1" outlineLevel="1" collapsed="1" x14ac:dyDescent="0.25">
      <c r="A68" s="27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SUM(OSRRefD22_12x_0)</f>
        <v>3560.8900000000003</v>
      </c>
      <c r="E68" s="1"/>
      <c r="F68" s="5">
        <f t="shared" si="28"/>
        <v>3.9492694513074203E-2</v>
      </c>
      <c r="G68" s="1"/>
      <c r="H68" s="1">
        <f>SUM(OSRRefH22_12x_0)</f>
        <v>508</v>
      </c>
      <c r="I68" s="1"/>
      <c r="J68" s="5">
        <f t="shared" si="29"/>
        <v>1.0135290162583621E-3</v>
      </c>
      <c r="K68" s="1"/>
      <c r="L68" s="1">
        <f t="shared" si="30"/>
        <v>3052.8900000000003</v>
      </c>
      <c r="M68" s="1"/>
      <c r="N68" s="5">
        <f t="shared" si="31"/>
        <v>6.0096259842519695</v>
      </c>
      <c r="O68" s="13"/>
      <c r="P68" s="1">
        <f>SUM(OSRRefP22_12x_0)</f>
        <v>22561.98</v>
      </c>
      <c r="Q68" s="1"/>
      <c r="R68" s="5">
        <f t="shared" si="32"/>
        <v>2.3967534489346697E-2</v>
      </c>
      <c r="S68" s="1"/>
      <c r="T68" s="1">
        <f>SUM(OSRRefT22_12x_0)</f>
        <v>70308</v>
      </c>
      <c r="U68" s="1"/>
      <c r="V68" s="5">
        <f t="shared" si="33"/>
        <v>1.9274447594956976E-2</v>
      </c>
      <c r="W68" s="1"/>
      <c r="X68" s="1">
        <f t="shared" si="34"/>
        <v>-47746.020000000004</v>
      </c>
      <c r="Y68" s="1"/>
      <c r="Z68" s="5">
        <f t="shared" si="35"/>
        <v>-0.67909796893667862</v>
      </c>
    </row>
    <row r="69" spans="1:26" s="24" customFormat="1" hidden="1" outlineLevel="2" x14ac:dyDescent="0.25">
      <c r="A69" s="26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3.8817382956440577E-2</v>
      </c>
      <c r="G69" s="2"/>
      <c r="H69" s="7"/>
      <c r="I69" s="2"/>
      <c r="J69" s="6">
        <f t="shared" si="29"/>
        <v>0</v>
      </c>
      <c r="K69" s="2"/>
      <c r="L69" s="7">
        <f t="shared" si="30"/>
        <v>3500</v>
      </c>
      <c r="M69" s="2"/>
      <c r="N69" s="6">
        <f t="shared" si="31"/>
        <v>0</v>
      </c>
      <c r="O69" s="11"/>
      <c r="P69" s="7">
        <v>17500</v>
      </c>
      <c r="Q69" s="2"/>
      <c r="R69" s="6">
        <f t="shared" si="32"/>
        <v>1.8590205893435203E-2</v>
      </c>
      <c r="S69" s="2"/>
      <c r="T69" s="7">
        <v>56745</v>
      </c>
      <c r="U69" s="2"/>
      <c r="V69" s="6">
        <f t="shared" si="33"/>
        <v>1.5556245786764429E-2</v>
      </c>
      <c r="W69" s="2"/>
      <c r="X69" s="7">
        <f t="shared" si="34"/>
        <v>-39245</v>
      </c>
      <c r="Y69" s="2"/>
      <c r="Z69" s="6">
        <f t="shared" si="35"/>
        <v>-0.69160278438628953</v>
      </c>
    </row>
    <row r="70" spans="1:26" s="24" customFormat="1" hidden="1" outlineLevel="2" x14ac:dyDescent="0.25">
      <c r="A70" s="26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3083</v>
      </c>
      <c r="U70" s="2"/>
      <c r="V70" s="6">
        <f t="shared" si="33"/>
        <v>8.4518293700933534E-4</v>
      </c>
      <c r="W70" s="2"/>
      <c r="X70" s="7">
        <f t="shared" si="34"/>
        <v>-3083</v>
      </c>
      <c r="Y70" s="2"/>
      <c r="Z70" s="6">
        <f t="shared" si="35"/>
        <v>-1</v>
      </c>
    </row>
    <row r="71" spans="1:26" s="24" customFormat="1" hidden="1" outlineLevel="2" x14ac:dyDescent="0.25">
      <c r="A71" s="26"/>
      <c r="B71" s="11" t="str">
        <f>CONCATENATE("          ", "6373", " - ", "MAINTENANCE CONTRACTS")</f>
        <v xml:space="preserve">          6373 - MAINTENANCE CONTRACTS</v>
      </c>
      <c r="C71" s="11"/>
      <c r="D71" s="7">
        <v>12.34</v>
      </c>
      <c r="E71" s="2"/>
      <c r="F71" s="6">
        <f t="shared" si="28"/>
        <v>1.3685900162356478E-4</v>
      </c>
      <c r="G71" s="2"/>
      <c r="H71" s="7">
        <v>58</v>
      </c>
      <c r="I71" s="2"/>
      <c r="J71" s="6">
        <f t="shared" si="29"/>
        <v>1.1571787980902559E-4</v>
      </c>
      <c r="K71" s="2"/>
      <c r="L71" s="7">
        <f t="shared" si="30"/>
        <v>-45.66</v>
      </c>
      <c r="M71" s="2"/>
      <c r="N71" s="6">
        <f t="shared" si="31"/>
        <v>-0.78724137931034477</v>
      </c>
      <c r="O71" s="11"/>
      <c r="P71" s="7">
        <v>3239.41</v>
      </c>
      <c r="Q71" s="2"/>
      <c r="R71" s="6">
        <f t="shared" si="32"/>
        <v>3.4412170784715959E-3</v>
      </c>
      <c r="S71" s="2"/>
      <c r="T71" s="7">
        <v>5980</v>
      </c>
      <c r="U71" s="2"/>
      <c r="V71" s="6">
        <f t="shared" si="33"/>
        <v>1.63937527191561E-3</v>
      </c>
      <c r="W71" s="2"/>
      <c r="X71" s="7">
        <f t="shared" si="34"/>
        <v>-2740.59</v>
      </c>
      <c r="Y71" s="2"/>
      <c r="Z71" s="6">
        <f t="shared" si="35"/>
        <v>-0.45829264214046828</v>
      </c>
    </row>
    <row r="72" spans="1:26" s="24" customFormat="1" hidden="1" outlineLevel="2" x14ac:dyDescent="0.25">
      <c r="A72" s="26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48.55</v>
      </c>
      <c r="E72" s="2"/>
      <c r="F72" s="6">
        <f t="shared" si="28"/>
        <v>5.3845255501005422E-4</v>
      </c>
      <c r="G72" s="2"/>
      <c r="H72" s="7">
        <v>450</v>
      </c>
      <c r="I72" s="2"/>
      <c r="J72" s="6">
        <f t="shared" si="29"/>
        <v>8.9781113644933652E-4</v>
      </c>
      <c r="K72" s="2"/>
      <c r="L72" s="7">
        <f t="shared" si="30"/>
        <v>-401.45</v>
      </c>
      <c r="M72" s="2"/>
      <c r="N72" s="6">
        <f t="shared" si="31"/>
        <v>-0.89211111111111108</v>
      </c>
      <c r="O72" s="11"/>
      <c r="P72" s="7">
        <v>1822.57</v>
      </c>
      <c r="Q72" s="2"/>
      <c r="R72" s="6">
        <f t="shared" si="32"/>
        <v>1.936111517439897E-3</v>
      </c>
      <c r="S72" s="2"/>
      <c r="T72" s="7">
        <v>4500</v>
      </c>
      <c r="U72" s="2"/>
      <c r="V72" s="6">
        <f t="shared" si="33"/>
        <v>1.2336435992675995E-3</v>
      </c>
      <c r="W72" s="2"/>
      <c r="X72" s="7">
        <f t="shared" si="34"/>
        <v>-2677.4300000000003</v>
      </c>
      <c r="Y72" s="2"/>
      <c r="Z72" s="6">
        <f t="shared" si="35"/>
        <v>-0.59498444444444454</v>
      </c>
    </row>
    <row r="73" spans="1:26" s="25" customFormat="1" outlineLevel="1" collapsed="1" x14ac:dyDescent="0.25">
      <c r="A73" s="27"/>
      <c r="B73" s="13" t="str">
        <f>CONCATENATE("     ","Services                                          ")</f>
        <v xml:space="preserve">     Services                                          </v>
      </c>
      <c r="C73" s="13"/>
      <c r="D73" s="1">
        <f>SUM(OSRRefD22_13x_0)</f>
        <v>13150.170000000002</v>
      </c>
      <c r="E73" s="1"/>
      <c r="F73" s="5">
        <f t="shared" ref="F73:F77" si="36">IF(D$12=0,0,D73/D$12)</f>
        <v>0.14584433852351322</v>
      </c>
      <c r="G73" s="1"/>
      <c r="H73" s="1">
        <f>SUM(OSRRefH22_13x_0)</f>
        <v>19902</v>
      </c>
      <c r="I73" s="1"/>
      <c r="J73" s="5">
        <f t="shared" ref="J73:J77" si="37">IF(H$12=0,0,H73/H$12)</f>
        <v>3.9707193861365987E-2</v>
      </c>
      <c r="K73" s="1"/>
      <c r="L73" s="1">
        <f t="shared" ref="L73:L77" si="38">+D73-H73</f>
        <v>-6751.8299999999981</v>
      </c>
      <c r="M73" s="1"/>
      <c r="N73" s="5">
        <f t="shared" ref="N73:N77" si="39">IF(H73=0,0,L73/H73)</f>
        <v>-0.3392538438347904</v>
      </c>
      <c r="O73" s="13"/>
      <c r="P73" s="1">
        <f>SUM(OSRRefP22_13x_0)</f>
        <v>117385.32</v>
      </c>
      <c r="Q73" s="1"/>
      <c r="R73" s="5">
        <f t="shared" ref="R73:R77" si="40">IF(P$12=0,0,P73/P$12)</f>
        <v>0.1246981295809587</v>
      </c>
      <c r="S73" s="1"/>
      <c r="T73" s="1">
        <f>SUM(OSRRefT22_13x_0)</f>
        <v>194058</v>
      </c>
      <c r="U73" s="1"/>
      <c r="V73" s="5">
        <f t="shared" ref="V73:V77" si="41">IF(T$12=0,0,T73/T$12)</f>
        <v>5.3199646574815962E-2</v>
      </c>
      <c r="W73" s="1"/>
      <c r="X73" s="1">
        <f t="shared" ref="X73:X77" si="42">+P73-T73</f>
        <v>-76672.679999999993</v>
      </c>
      <c r="Y73" s="1"/>
      <c r="Z73" s="5">
        <f t="shared" ref="Z73:Z77" si="43">IF(T73=0,0,X73/T73)</f>
        <v>-0.39510187675849484</v>
      </c>
    </row>
    <row r="74" spans="1:26" s="24" customFormat="1" hidden="1" outlineLevel="2" x14ac:dyDescent="0.25">
      <c r="A74" s="26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2346.96</v>
      </c>
      <c r="E74" s="2"/>
      <c r="F74" s="6">
        <f t="shared" si="36"/>
        <v>2.6029384315270795E-2</v>
      </c>
      <c r="G74" s="2"/>
      <c r="H74" s="7">
        <v>1750</v>
      </c>
      <c r="I74" s="2"/>
      <c r="J74" s="6">
        <f t="shared" si="37"/>
        <v>3.4914877528585309E-3</v>
      </c>
      <c r="K74" s="2"/>
      <c r="L74" s="7">
        <f t="shared" si="38"/>
        <v>596.96</v>
      </c>
      <c r="M74" s="2"/>
      <c r="N74" s="6">
        <f t="shared" si="39"/>
        <v>0.34112000000000003</v>
      </c>
      <c r="O74" s="11"/>
      <c r="P74" s="7">
        <v>14441.55</v>
      </c>
      <c r="Q74" s="2"/>
      <c r="R74" s="6">
        <f t="shared" si="40"/>
        <v>1.5341222166876523E-2</v>
      </c>
      <c r="S74" s="2"/>
      <c r="T74" s="7">
        <v>17500</v>
      </c>
      <c r="U74" s="2"/>
      <c r="V74" s="6">
        <f t="shared" si="41"/>
        <v>4.7975028860406648E-3</v>
      </c>
      <c r="W74" s="2"/>
      <c r="X74" s="7">
        <f t="shared" si="42"/>
        <v>-3058.4500000000007</v>
      </c>
      <c r="Y74" s="2"/>
      <c r="Z74" s="6">
        <f t="shared" si="43"/>
        <v>-0.17476857142857147</v>
      </c>
    </row>
    <row r="75" spans="1:26" s="24" customFormat="1" hidden="1" outlineLevel="2" x14ac:dyDescent="0.25">
      <c r="A75" s="26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36"/>
        <v>0</v>
      </c>
      <c r="G75" s="2"/>
      <c r="H75" s="7">
        <v>500</v>
      </c>
      <c r="I75" s="2"/>
      <c r="J75" s="6">
        <f t="shared" si="37"/>
        <v>9.9756792938815171E-4</v>
      </c>
      <c r="K75" s="2"/>
      <c r="L75" s="7">
        <f t="shared" si="38"/>
        <v>-500</v>
      </c>
      <c r="M75" s="2"/>
      <c r="N75" s="6">
        <f t="shared" si="39"/>
        <v>-1</v>
      </c>
      <c r="O75" s="11"/>
      <c r="P75" s="7">
        <v>282.75</v>
      </c>
      <c r="Q75" s="2"/>
      <c r="R75" s="6">
        <f t="shared" si="40"/>
        <v>3.0036461236393166E-4</v>
      </c>
      <c r="S75" s="2"/>
      <c r="T75" s="7">
        <v>5000</v>
      </c>
      <c r="U75" s="2"/>
      <c r="V75" s="6">
        <f t="shared" si="41"/>
        <v>1.3707151102973327E-3</v>
      </c>
      <c r="W75" s="2"/>
      <c r="X75" s="7">
        <f t="shared" si="42"/>
        <v>-4717.25</v>
      </c>
      <c r="Y75" s="2"/>
      <c r="Z75" s="6">
        <f t="shared" si="43"/>
        <v>-0.94345000000000001</v>
      </c>
    </row>
    <row r="76" spans="1:26" s="24" customFormat="1" hidden="1" outlineLevel="2" x14ac:dyDescent="0.25">
      <c r="A76" s="26"/>
      <c r="B76" s="11" t="str">
        <f>CONCATENATE("          ", "6285", " - ", "JANITORIAL SERVICES")</f>
        <v xml:space="preserve">          6285 - JANITORIAL SERVICES</v>
      </c>
      <c r="C76" s="11"/>
      <c r="D76" s="7">
        <v>8897.19</v>
      </c>
      <c r="E76" s="2"/>
      <c r="F76" s="6">
        <f t="shared" si="36"/>
        <v>9.867589470463245E-2</v>
      </c>
      <c r="G76" s="2"/>
      <c r="H76" s="7">
        <v>13152</v>
      </c>
      <c r="I76" s="2"/>
      <c r="J76" s="6">
        <f t="shared" si="37"/>
        <v>2.6240026814625943E-2</v>
      </c>
      <c r="K76" s="2"/>
      <c r="L76" s="7">
        <f t="shared" si="38"/>
        <v>-4254.8099999999995</v>
      </c>
      <c r="M76" s="2"/>
      <c r="N76" s="6">
        <f t="shared" si="39"/>
        <v>-0.3235104927007299</v>
      </c>
      <c r="O76" s="11"/>
      <c r="P76" s="7">
        <v>88073.35</v>
      </c>
      <c r="Q76" s="2"/>
      <c r="R76" s="6">
        <f t="shared" si="40"/>
        <v>9.3560097727118943E-2</v>
      </c>
      <c r="S76" s="2"/>
      <c r="T76" s="7">
        <v>126558</v>
      </c>
      <c r="U76" s="2"/>
      <c r="V76" s="6">
        <f t="shared" si="41"/>
        <v>3.469499258580197E-2</v>
      </c>
      <c r="W76" s="2"/>
      <c r="X76" s="7">
        <f t="shared" si="42"/>
        <v>-38484.649999999994</v>
      </c>
      <c r="Y76" s="2"/>
      <c r="Z76" s="6">
        <f t="shared" si="43"/>
        <v>-0.30408705889789656</v>
      </c>
    </row>
    <row r="77" spans="1:26" s="24" customFormat="1" hidden="1" outlineLevel="2" x14ac:dyDescent="0.25">
      <c r="A77" s="26"/>
      <c r="B77" s="11" t="str">
        <f>CONCATENATE("          ", "6286", " - ", "LAUNDRY EXPENSE")</f>
        <v xml:space="preserve">          6286 - LAUNDRY EXPENSE</v>
      </c>
      <c r="C77" s="11"/>
      <c r="D77" s="7">
        <v>1906.02</v>
      </c>
      <c r="E77" s="2"/>
      <c r="F77" s="6">
        <f t="shared" si="36"/>
        <v>2.1139059503609961E-2</v>
      </c>
      <c r="G77" s="2"/>
      <c r="H77" s="7">
        <v>4500</v>
      </c>
      <c r="I77" s="2"/>
      <c r="J77" s="6">
        <f t="shared" si="37"/>
        <v>8.9781113644933647E-3</v>
      </c>
      <c r="K77" s="2"/>
      <c r="L77" s="7">
        <f t="shared" si="38"/>
        <v>-2593.98</v>
      </c>
      <c r="M77" s="2"/>
      <c r="N77" s="6">
        <f t="shared" si="39"/>
        <v>-0.57643999999999995</v>
      </c>
      <c r="O77" s="11"/>
      <c r="P77" s="7">
        <v>14587.67</v>
      </c>
      <c r="Q77" s="2"/>
      <c r="R77" s="6">
        <f t="shared" si="40"/>
        <v>1.5496445074599309E-2</v>
      </c>
      <c r="S77" s="2"/>
      <c r="T77" s="7">
        <v>45000</v>
      </c>
      <c r="U77" s="2"/>
      <c r="V77" s="6">
        <f t="shared" si="41"/>
        <v>1.2336435992675995E-2</v>
      </c>
      <c r="W77" s="2"/>
      <c r="X77" s="7">
        <f t="shared" si="42"/>
        <v>-30412.33</v>
      </c>
      <c r="Y77" s="2"/>
      <c r="Z77" s="6">
        <f t="shared" si="43"/>
        <v>-0.67582955555555557</v>
      </c>
    </row>
    <row r="78" spans="1:26" s="25" customFormat="1" outlineLevel="1" collapsed="1" x14ac:dyDescent="0.25">
      <c r="A78" s="27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3"/>
      <c r="P78" s="1">
        <f>SUM(OSRRefP22_14x_0)</f>
        <v>795</v>
      </c>
      <c r="Q78" s="1"/>
      <c r="R78" s="5">
        <f t="shared" ref="R78:R90" si="48">IF(P$12=0,0,P78/P$12)</f>
        <v>8.4452649630177069E-4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6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795</v>
      </c>
      <c r="Q79" s="2"/>
      <c r="R79" s="6">
        <f t="shared" si="48"/>
        <v>8.4452649630177069E-4</v>
      </c>
      <c r="S79" s="2"/>
      <c r="T79" s="7"/>
      <c r="U79" s="2"/>
      <c r="V79" s="6">
        <f t="shared" si="49"/>
        <v>0</v>
      </c>
      <c r="W79" s="2"/>
      <c r="X79" s="7">
        <f t="shared" si="50"/>
        <v>795</v>
      </c>
      <c r="Y79" s="2"/>
      <c r="Z79" s="6">
        <f t="shared" si="51"/>
        <v>0</v>
      </c>
    </row>
    <row r="80" spans="1:26" s="25" customFormat="1" outlineLevel="1" collapsed="1" x14ac:dyDescent="0.25">
      <c r="A80" s="27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SUM(OSRRefD22_15x_0)</f>
        <v>13276.58</v>
      </c>
      <c r="E80" s="1"/>
      <c r="F80" s="5">
        <f t="shared" si="44"/>
        <v>0.14724631148909137</v>
      </c>
      <c r="G80" s="1"/>
      <c r="H80" s="1">
        <f>SUM(OSRRefH22_15x_0)</f>
        <v>25948</v>
      </c>
      <c r="I80" s="1"/>
      <c r="J80" s="5">
        <f t="shared" si="45"/>
        <v>5.1769785263527518E-2</v>
      </c>
      <c r="K80" s="1"/>
      <c r="L80" s="1">
        <f t="shared" si="46"/>
        <v>-12671.42</v>
      </c>
      <c r="M80" s="1"/>
      <c r="N80" s="5">
        <f t="shared" si="47"/>
        <v>-0.48833898566363498</v>
      </c>
      <c r="O80" s="13"/>
      <c r="P80" s="1">
        <f>SUM(OSRRefP22_15x_0)</f>
        <v>133337.16</v>
      </c>
      <c r="Q80" s="1"/>
      <c r="R80" s="5">
        <f t="shared" si="48"/>
        <v>0.14164372900833785</v>
      </c>
      <c r="S80" s="1"/>
      <c r="T80" s="1">
        <f>SUM(OSRRefT22_15x_0)</f>
        <v>253842</v>
      </c>
      <c r="U80" s="1"/>
      <c r="V80" s="5">
        <f t="shared" si="49"/>
        <v>6.9589013005619108E-2</v>
      </c>
      <c r="W80" s="1"/>
      <c r="X80" s="1">
        <f t="shared" si="50"/>
        <v>-120504.84</v>
      </c>
      <c r="Y80" s="1"/>
      <c r="Z80" s="5">
        <f t="shared" si="51"/>
        <v>-0.4747238045713475</v>
      </c>
    </row>
    <row r="81" spans="1:26" s="24" customFormat="1" hidden="1" outlineLevel="2" x14ac:dyDescent="0.25">
      <c r="A81" s="26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1.9951358587763033E-4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1000</v>
      </c>
      <c r="U81" s="2"/>
      <c r="V81" s="6">
        <f t="shared" si="49"/>
        <v>2.7414302205946658E-4</v>
      </c>
      <c r="W81" s="2"/>
      <c r="X81" s="7">
        <f t="shared" si="50"/>
        <v>-1000</v>
      </c>
      <c r="Y81" s="2"/>
      <c r="Z81" s="6">
        <f t="shared" si="51"/>
        <v>-1</v>
      </c>
    </row>
    <row r="82" spans="1:26" s="24" customFormat="1" hidden="1" outlineLevel="2" x14ac:dyDescent="0.25">
      <c r="A82" s="26"/>
      <c r="B82" s="11" t="str">
        <f>CONCATENATE("          ", "6235", " - ", "COVID-19 EXPENSES")</f>
        <v xml:space="preserve">          6235 - COVID-19 EXPENSES</v>
      </c>
      <c r="C82" s="11"/>
      <c r="D82" s="7">
        <v>2921.2</v>
      </c>
      <c r="E82" s="2"/>
      <c r="F82" s="6">
        <f t="shared" si="44"/>
        <v>3.2398096883529771E-2</v>
      </c>
      <c r="G82" s="2"/>
      <c r="H82" s="7">
        <v>12200</v>
      </c>
      <c r="I82" s="2"/>
      <c r="J82" s="6">
        <f t="shared" si="45"/>
        <v>2.4340657477070902E-2</v>
      </c>
      <c r="K82" s="2"/>
      <c r="L82" s="7">
        <f t="shared" si="46"/>
        <v>-9278.7999999999993</v>
      </c>
      <c r="M82" s="2"/>
      <c r="N82" s="6">
        <f t="shared" si="47"/>
        <v>-0.76055737704918025</v>
      </c>
      <c r="O82" s="11"/>
      <c r="P82" s="7">
        <v>56490.75</v>
      </c>
      <c r="Q82" s="2"/>
      <c r="R82" s="6">
        <f t="shared" si="48"/>
        <v>6.0009981347118553E-2</v>
      </c>
      <c r="S82" s="2"/>
      <c r="T82" s="7">
        <v>115000</v>
      </c>
      <c r="U82" s="2"/>
      <c r="V82" s="6">
        <f t="shared" si="49"/>
        <v>3.1526447536838656E-2</v>
      </c>
      <c r="W82" s="2"/>
      <c r="X82" s="7">
        <f t="shared" si="50"/>
        <v>-58509.25</v>
      </c>
      <c r="Y82" s="2"/>
      <c r="Z82" s="6">
        <f t="shared" si="51"/>
        <v>-0.50877608695652177</v>
      </c>
    </row>
    <row r="83" spans="1:26" s="24" customFormat="1" hidden="1" outlineLevel="2" x14ac:dyDescent="0.25">
      <c r="A83" s="26"/>
      <c r="B83" s="11" t="str">
        <f>CONCATENATE("          ", "6237", " - ", "JANITORIAL SUPPLIES")</f>
        <v xml:space="preserve">          6237 - JANITORIAL SUPPLIES</v>
      </c>
      <c r="C83" s="11"/>
      <c r="D83" s="7">
        <v>1902.43</v>
      </c>
      <c r="E83" s="2"/>
      <c r="F83" s="6">
        <f t="shared" si="44"/>
        <v>2.1099243959377501E-2</v>
      </c>
      <c r="G83" s="2"/>
      <c r="H83" s="7">
        <v>9000</v>
      </c>
      <c r="I83" s="2"/>
      <c r="J83" s="6">
        <f t="shared" si="45"/>
        <v>1.7956222728986729E-2</v>
      </c>
      <c r="K83" s="2"/>
      <c r="L83" s="7">
        <f t="shared" si="46"/>
        <v>-7097.57</v>
      </c>
      <c r="M83" s="2"/>
      <c r="N83" s="6">
        <f t="shared" si="47"/>
        <v>-0.78861888888888887</v>
      </c>
      <c r="O83" s="11"/>
      <c r="P83" s="7">
        <v>21741.72</v>
      </c>
      <c r="Q83" s="2"/>
      <c r="R83" s="6">
        <f t="shared" si="48"/>
        <v>2.3096174358709601E-2</v>
      </c>
      <c r="S83" s="2"/>
      <c r="T83" s="7">
        <v>86000</v>
      </c>
      <c r="U83" s="2"/>
      <c r="V83" s="6">
        <f t="shared" si="49"/>
        <v>2.3576299897114125E-2</v>
      </c>
      <c r="W83" s="2"/>
      <c r="X83" s="7">
        <f t="shared" si="50"/>
        <v>-64258.28</v>
      </c>
      <c r="Y83" s="2"/>
      <c r="Z83" s="6">
        <f t="shared" si="51"/>
        <v>-0.74718930232558134</v>
      </c>
    </row>
    <row r="84" spans="1:26" s="24" customFormat="1" hidden="1" outlineLevel="2" x14ac:dyDescent="0.25">
      <c r="A84" s="26"/>
      <c r="B84" s="11" t="str">
        <f>CONCATENATE("          ", "6239", " - ", "KITCHEN SUPPLIES")</f>
        <v xml:space="preserve">          6239 - KITCHEN SUPPLIES</v>
      </c>
      <c r="C84" s="11"/>
      <c r="D84" s="7">
        <v>160.30000000000001</v>
      </c>
      <c r="E84" s="2"/>
      <c r="F84" s="6">
        <f t="shared" si="44"/>
        <v>1.7778361394049785E-3</v>
      </c>
      <c r="G84" s="2"/>
      <c r="H84" s="7">
        <v>2300</v>
      </c>
      <c r="I84" s="2"/>
      <c r="J84" s="6">
        <f t="shared" si="45"/>
        <v>4.588812475185498E-3</v>
      </c>
      <c r="K84" s="2"/>
      <c r="L84" s="7">
        <f t="shared" si="46"/>
        <v>-2139.6999999999998</v>
      </c>
      <c r="M84" s="2"/>
      <c r="N84" s="6">
        <f t="shared" si="47"/>
        <v>-0.93030434782608684</v>
      </c>
      <c r="O84" s="11"/>
      <c r="P84" s="7">
        <v>7247.38</v>
      </c>
      <c r="Q84" s="2"/>
      <c r="R84" s="6">
        <f t="shared" si="48"/>
        <v>7.6988735078836815E-3</v>
      </c>
      <c r="S84" s="2"/>
      <c r="T84" s="7">
        <v>22200</v>
      </c>
      <c r="U84" s="2"/>
      <c r="V84" s="6">
        <f t="shared" si="49"/>
        <v>6.0859750897201579E-3</v>
      </c>
      <c r="W84" s="2"/>
      <c r="X84" s="7">
        <f t="shared" si="50"/>
        <v>-14952.619999999999</v>
      </c>
      <c r="Y84" s="2"/>
      <c r="Z84" s="6">
        <f t="shared" si="51"/>
        <v>-0.67354144144144135</v>
      </c>
    </row>
    <row r="85" spans="1:26" s="24" customFormat="1" hidden="1" outlineLevel="2" x14ac:dyDescent="0.25">
      <c r="A85" s="26"/>
      <c r="B85" s="11" t="str">
        <f>CONCATENATE("          ", "6241", " - ", "OFFICE EXPENSE")</f>
        <v xml:space="preserve">          6241 - OFFICE EXPENSE</v>
      </c>
      <c r="C85" s="11"/>
      <c r="D85" s="7">
        <v>1258.28</v>
      </c>
      <c r="E85" s="2"/>
      <c r="F85" s="6">
        <f t="shared" si="44"/>
        <v>1.3955181893265728E-2</v>
      </c>
      <c r="G85" s="2"/>
      <c r="H85" s="7">
        <v>1000</v>
      </c>
      <c r="I85" s="2"/>
      <c r="J85" s="6">
        <f t="shared" si="45"/>
        <v>1.9951358587763034E-3</v>
      </c>
      <c r="K85" s="2"/>
      <c r="L85" s="7">
        <f t="shared" si="46"/>
        <v>258.27999999999997</v>
      </c>
      <c r="M85" s="2"/>
      <c r="N85" s="6">
        <f t="shared" si="47"/>
        <v>0.25827999999999995</v>
      </c>
      <c r="O85" s="11"/>
      <c r="P85" s="7">
        <v>7980.8</v>
      </c>
      <c r="Q85" s="2"/>
      <c r="R85" s="6">
        <f t="shared" si="48"/>
        <v>8.4779837253901522E-3</v>
      </c>
      <c r="S85" s="2"/>
      <c r="T85" s="7">
        <v>9750</v>
      </c>
      <c r="U85" s="2"/>
      <c r="V85" s="6">
        <f t="shared" si="49"/>
        <v>2.6728944650797988E-3</v>
      </c>
      <c r="W85" s="2"/>
      <c r="X85" s="7">
        <f t="shared" si="50"/>
        <v>-1769.1999999999998</v>
      </c>
      <c r="Y85" s="2"/>
      <c r="Z85" s="6">
        <f t="shared" si="51"/>
        <v>-0.18145641025641024</v>
      </c>
    </row>
    <row r="86" spans="1:26" s="24" customFormat="1" hidden="1" outlineLevel="2" x14ac:dyDescent="0.25">
      <c r="A86" s="26"/>
      <c r="B86" s="11" t="str">
        <f>CONCATENATE("          ", "6243", " - ", "PAPER SUPPLIES")</f>
        <v xml:space="preserve">          6243 - PAPER SUPPLIES</v>
      </c>
      <c r="C86" s="11"/>
      <c r="D86" s="7">
        <v>7034.37</v>
      </c>
      <c r="E86" s="2"/>
      <c r="F86" s="6">
        <f t="shared" si="44"/>
        <v>7.8015952613513406E-2</v>
      </c>
      <c r="G86" s="2"/>
      <c r="H86" s="7">
        <v>500</v>
      </c>
      <c r="I86" s="2"/>
      <c r="J86" s="6">
        <f t="shared" si="45"/>
        <v>9.9756792938815171E-4</v>
      </c>
      <c r="K86" s="2"/>
      <c r="L86" s="7">
        <f t="shared" si="46"/>
        <v>6534.37</v>
      </c>
      <c r="M86" s="2"/>
      <c r="N86" s="6">
        <f t="shared" si="47"/>
        <v>13.06874</v>
      </c>
      <c r="O86" s="11"/>
      <c r="P86" s="7">
        <v>35375.919999999998</v>
      </c>
      <c r="Q86" s="2"/>
      <c r="R86" s="6">
        <f t="shared" si="48"/>
        <v>3.7579750655410984E-2</v>
      </c>
      <c r="S86" s="2"/>
      <c r="T86" s="7">
        <v>5000</v>
      </c>
      <c r="U86" s="2"/>
      <c r="V86" s="6">
        <f t="shared" si="49"/>
        <v>1.3707151102973327E-3</v>
      </c>
      <c r="W86" s="2"/>
      <c r="X86" s="7">
        <f t="shared" si="50"/>
        <v>30375.919999999998</v>
      </c>
      <c r="Y86" s="2"/>
      <c r="Z86" s="6">
        <f t="shared" si="51"/>
        <v>6.0751839999999993</v>
      </c>
    </row>
    <row r="87" spans="1:26" s="24" customFormat="1" hidden="1" outlineLevel="2" x14ac:dyDescent="0.25">
      <c r="A87" s="26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44"/>
        <v>0</v>
      </c>
      <c r="G87" s="2"/>
      <c r="H87" s="7">
        <v>180</v>
      </c>
      <c r="I87" s="2"/>
      <c r="J87" s="6">
        <f t="shared" si="45"/>
        <v>3.5912445457973459E-4</v>
      </c>
      <c r="K87" s="2"/>
      <c r="L87" s="7">
        <f t="shared" si="46"/>
        <v>-180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1380</v>
      </c>
      <c r="U87" s="2"/>
      <c r="V87" s="6">
        <f t="shared" si="49"/>
        <v>3.7831737044206383E-4</v>
      </c>
      <c r="W87" s="2"/>
      <c r="X87" s="7">
        <f t="shared" si="50"/>
        <v>-1380</v>
      </c>
      <c r="Y87" s="2"/>
      <c r="Z87" s="6">
        <f t="shared" si="51"/>
        <v>-1</v>
      </c>
    </row>
    <row r="88" spans="1:26" s="24" customFormat="1" hidden="1" outlineLevel="2" x14ac:dyDescent="0.25">
      <c r="A88" s="26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44"/>
        <v>0</v>
      </c>
      <c r="G88" s="2"/>
      <c r="H88" s="7">
        <v>150</v>
      </c>
      <c r="I88" s="2"/>
      <c r="J88" s="6">
        <f t="shared" si="45"/>
        <v>2.9927037881644552E-4</v>
      </c>
      <c r="K88" s="2"/>
      <c r="L88" s="7">
        <f t="shared" si="46"/>
        <v>-150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2500</v>
      </c>
      <c r="U88" s="2"/>
      <c r="V88" s="6">
        <f t="shared" si="49"/>
        <v>6.8535755514866634E-4</v>
      </c>
      <c r="W88" s="2"/>
      <c r="X88" s="7">
        <f t="shared" si="50"/>
        <v>-2500</v>
      </c>
      <c r="Y88" s="2"/>
      <c r="Z88" s="6">
        <f t="shared" si="51"/>
        <v>-1</v>
      </c>
    </row>
    <row r="89" spans="1:26" s="24" customFormat="1" hidden="1" outlineLevel="2" x14ac:dyDescent="0.25">
      <c r="A89" s="26"/>
      <c r="B89" s="11" t="str">
        <f>CONCATENATE("          ", "6247", " - ", "STORE SUPPLIES")</f>
        <v xml:space="preserve">          6247 - STORE SUPPLIES</v>
      </c>
      <c r="C89" s="11"/>
      <c r="D89" s="7"/>
      <c r="E89" s="2"/>
      <c r="F89" s="6">
        <f t="shared" si="44"/>
        <v>0</v>
      </c>
      <c r="G89" s="2"/>
      <c r="H89" s="7">
        <v>18</v>
      </c>
      <c r="I89" s="2"/>
      <c r="J89" s="6">
        <f t="shared" si="45"/>
        <v>3.5912445457973464E-5</v>
      </c>
      <c r="K89" s="2"/>
      <c r="L89" s="7">
        <f t="shared" si="46"/>
        <v>-18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162</v>
      </c>
      <c r="U89" s="2"/>
      <c r="V89" s="6">
        <f t="shared" si="49"/>
        <v>4.4411169573633583E-5</v>
      </c>
      <c r="W89" s="2"/>
      <c r="X89" s="7">
        <f t="shared" si="50"/>
        <v>-162</v>
      </c>
      <c r="Y89" s="2"/>
      <c r="Z89" s="6">
        <f t="shared" si="51"/>
        <v>-1</v>
      </c>
    </row>
    <row r="90" spans="1:26" s="24" customFormat="1" hidden="1" outlineLevel="2" x14ac:dyDescent="0.25">
      <c r="A90" s="26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44"/>
        <v>0</v>
      </c>
      <c r="G90" s="2"/>
      <c r="H90" s="7">
        <v>500</v>
      </c>
      <c r="I90" s="2"/>
      <c r="J90" s="6">
        <f t="shared" si="45"/>
        <v>9.9756792938815171E-4</v>
      </c>
      <c r="K90" s="2"/>
      <c r="L90" s="7">
        <f t="shared" si="46"/>
        <v>-500</v>
      </c>
      <c r="M90" s="2"/>
      <c r="N90" s="6">
        <f t="shared" si="47"/>
        <v>-1</v>
      </c>
      <c r="O90" s="11"/>
      <c r="P90" s="7">
        <v>4500.59</v>
      </c>
      <c r="Q90" s="2"/>
      <c r="R90" s="6">
        <f t="shared" si="48"/>
        <v>4.7809654138248883E-3</v>
      </c>
      <c r="S90" s="2"/>
      <c r="T90" s="7">
        <v>10850</v>
      </c>
      <c r="U90" s="2"/>
      <c r="V90" s="6">
        <f t="shared" si="49"/>
        <v>2.9744517893452119E-3</v>
      </c>
      <c r="W90" s="2"/>
      <c r="X90" s="7">
        <f t="shared" si="50"/>
        <v>-6349.41</v>
      </c>
      <c r="Y90" s="2"/>
      <c r="Z90" s="6">
        <f t="shared" si="51"/>
        <v>-0.58519907834101381</v>
      </c>
    </row>
    <row r="91" spans="1:26" s="25" customFormat="1" outlineLevel="1" collapsed="1" x14ac:dyDescent="0.25">
      <c r="A91" s="27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SUM(OSRRefD22_16x_0)</f>
        <v>248</v>
      </c>
      <c r="E91" s="1"/>
      <c r="F91" s="5">
        <f t="shared" ref="F91:F93" si="52">IF(D$12=0,0,D91/D$12)</f>
        <v>2.7504888494849322E-3</v>
      </c>
      <c r="G91" s="1"/>
      <c r="H91" s="1">
        <f>SUM(OSRRefH22_16x_0)</f>
        <v>725</v>
      </c>
      <c r="I91" s="1"/>
      <c r="J91" s="5">
        <f t="shared" ref="J91:J93" si="53">IF(H$12=0,0,H91/H$12)</f>
        <v>1.4464734976128199E-3</v>
      </c>
      <c r="K91" s="1"/>
      <c r="L91" s="1">
        <f t="shared" ref="L91:L93" si="54">+D91-H91</f>
        <v>-477</v>
      </c>
      <c r="M91" s="1"/>
      <c r="N91" s="5">
        <f t="shared" ref="N91:N93" si="55">IF(H91=0,0,L91/H91)</f>
        <v>-0.65793103448275858</v>
      </c>
      <c r="O91" s="13"/>
      <c r="P91" s="1">
        <f>SUM(OSRRefP22_16x_0)</f>
        <v>4775.32</v>
      </c>
      <c r="Q91" s="1"/>
      <c r="R91" s="5">
        <f t="shared" ref="R91:R93" si="56">IF(P$12=0,0,P91/P$12)</f>
        <v>5.0728104004022275E-3</v>
      </c>
      <c r="S91" s="1"/>
      <c r="T91" s="1">
        <f>SUM(OSRRefT22_16x_0)</f>
        <v>7250</v>
      </c>
      <c r="U91" s="1"/>
      <c r="V91" s="5">
        <f t="shared" ref="V91:V93" si="57">IF(T$12=0,0,T91/T$12)</f>
        <v>1.9875369099311324E-3</v>
      </c>
      <c r="W91" s="1"/>
      <c r="X91" s="1">
        <f t="shared" ref="X91:X93" si="58">+P91-T91</f>
        <v>-2474.6800000000003</v>
      </c>
      <c r="Y91" s="1"/>
      <c r="Z91" s="5">
        <f t="shared" ref="Z91:Z93" si="59">IF(T91=0,0,X91/T91)</f>
        <v>-0.34133517241379313</v>
      </c>
    </row>
    <row r="92" spans="1:26" s="24" customFormat="1" hidden="1" outlineLevel="2" x14ac:dyDescent="0.25">
      <c r="A92" s="26"/>
      <c r="B92" s="11" t="str">
        <f>CONCATENATE("          ", "6303", " - ", "DATA PHONE LINES")</f>
        <v xml:space="preserve">          6303 - DATA PHONE LINES</v>
      </c>
      <c r="C92" s="11"/>
      <c r="D92" s="7"/>
      <c r="E92" s="2"/>
      <c r="F92" s="6">
        <f t="shared" si="52"/>
        <v>0</v>
      </c>
      <c r="G92" s="2"/>
      <c r="H92" s="7">
        <v>500</v>
      </c>
      <c r="I92" s="2"/>
      <c r="J92" s="6">
        <f t="shared" si="53"/>
        <v>9.9756792938815171E-4</v>
      </c>
      <c r="K92" s="2"/>
      <c r="L92" s="7">
        <f t="shared" si="54"/>
        <v>-500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5000</v>
      </c>
      <c r="U92" s="2"/>
      <c r="V92" s="6">
        <f t="shared" si="57"/>
        <v>1.3707151102973327E-3</v>
      </c>
      <c r="W92" s="2"/>
      <c r="X92" s="7">
        <f t="shared" si="58"/>
        <v>-5000</v>
      </c>
      <c r="Y92" s="2"/>
      <c r="Z92" s="6">
        <f t="shared" si="59"/>
        <v>-1</v>
      </c>
    </row>
    <row r="93" spans="1:26" s="24" customFormat="1" hidden="1" outlineLevel="2" x14ac:dyDescent="0.25">
      <c r="A93" s="26"/>
      <c r="B93" s="11" t="str">
        <f>CONCATENATE("          ", "6309", " - ", "TELEPHONE")</f>
        <v xml:space="preserve">          6309 - TELEPHONE</v>
      </c>
      <c r="C93" s="11"/>
      <c r="D93" s="7">
        <v>248</v>
      </c>
      <c r="E93" s="2"/>
      <c r="F93" s="6">
        <f t="shared" si="52"/>
        <v>2.7504888494849322E-3</v>
      </c>
      <c r="G93" s="2"/>
      <c r="H93" s="7">
        <v>225</v>
      </c>
      <c r="I93" s="2"/>
      <c r="J93" s="6">
        <f t="shared" si="53"/>
        <v>4.4890556822466826E-4</v>
      </c>
      <c r="K93" s="2"/>
      <c r="L93" s="7">
        <f t="shared" si="54"/>
        <v>23</v>
      </c>
      <c r="M93" s="2"/>
      <c r="N93" s="6">
        <f t="shared" si="55"/>
        <v>0.10222222222222223</v>
      </c>
      <c r="O93" s="11"/>
      <c r="P93" s="7">
        <v>4775.32</v>
      </c>
      <c r="Q93" s="2"/>
      <c r="R93" s="6">
        <f t="shared" si="56"/>
        <v>5.0728104004022275E-3</v>
      </c>
      <c r="S93" s="2"/>
      <c r="T93" s="7">
        <v>2250</v>
      </c>
      <c r="U93" s="2"/>
      <c r="V93" s="6">
        <f t="shared" si="57"/>
        <v>6.1682179963379975E-4</v>
      </c>
      <c r="W93" s="2"/>
      <c r="X93" s="7">
        <f t="shared" si="58"/>
        <v>2525.3199999999997</v>
      </c>
      <c r="Y93" s="2"/>
      <c r="Z93" s="6">
        <f t="shared" si="59"/>
        <v>1.1223644444444443</v>
      </c>
    </row>
    <row r="94" spans="1:26" s="25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SUM(OSRRefD22_17x_0)</f>
        <v>0</v>
      </c>
      <c r="E94" s="1"/>
      <c r="F94" s="5">
        <f t="shared" ref="F94:F98" si="60">IF(D$12=0,0,D94/D$12)</f>
        <v>0</v>
      </c>
      <c r="G94" s="1"/>
      <c r="H94" s="1">
        <f>SUM(OSRRefH22_17x_0)</f>
        <v>750</v>
      </c>
      <c r="I94" s="1"/>
      <c r="J94" s="5">
        <f t="shared" ref="J94:J98" si="61">IF(H$12=0,0,H94/H$12)</f>
        <v>1.4963518940822275E-3</v>
      </c>
      <c r="K94" s="1"/>
      <c r="L94" s="1">
        <f t="shared" ref="L94:L98" si="62">+D94-H94</f>
        <v>-750</v>
      </c>
      <c r="M94" s="1"/>
      <c r="N94" s="5">
        <f t="shared" ref="N94:N98" si="63">IF(H94=0,0,L94/H94)</f>
        <v>-1</v>
      </c>
      <c r="O94" s="13"/>
      <c r="P94" s="1">
        <f>SUM(OSRRefP22_17x_0)</f>
        <v>786.23</v>
      </c>
      <c r="Q94" s="1"/>
      <c r="R94" s="5">
        <f t="shared" ref="R94:R98" si="64">IF(P$12=0,0,P94/P$12)</f>
        <v>8.3521014740546053E-4</v>
      </c>
      <c r="S94" s="1"/>
      <c r="T94" s="1">
        <f>SUM(OSRRefT22_17x_0)</f>
        <v>8650</v>
      </c>
      <c r="U94" s="1"/>
      <c r="V94" s="5">
        <f t="shared" ref="V94:V98" si="65">IF(T$12=0,0,T94/T$12)</f>
        <v>2.3713371408143856E-3</v>
      </c>
      <c r="W94" s="1"/>
      <c r="X94" s="1">
        <f t="shared" ref="X94:X98" si="66">+P94-T94</f>
        <v>-7863.77</v>
      </c>
      <c r="Y94" s="1"/>
      <c r="Z94" s="5">
        <f t="shared" ref="Z94:Z98" si="67">IF(T94=0,0,X94/T94)</f>
        <v>-0.90910635838150289</v>
      </c>
    </row>
    <row r="95" spans="1:26" s="24" customFormat="1" hidden="1" outlineLevel="2" x14ac:dyDescent="0.25">
      <c r="A95" s="26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60"/>
        <v>0</v>
      </c>
      <c r="G95" s="2"/>
      <c r="H95" s="7">
        <v>750</v>
      </c>
      <c r="I95" s="2"/>
      <c r="J95" s="6">
        <f t="shared" si="61"/>
        <v>1.4963518940822275E-3</v>
      </c>
      <c r="K95" s="2"/>
      <c r="L95" s="7">
        <f t="shared" si="62"/>
        <v>-750</v>
      </c>
      <c r="M95" s="2"/>
      <c r="N95" s="6">
        <f t="shared" si="63"/>
        <v>-1</v>
      </c>
      <c r="O95" s="11"/>
      <c r="P95" s="7">
        <v>786.23</v>
      </c>
      <c r="Q95" s="2"/>
      <c r="R95" s="6">
        <f t="shared" si="64"/>
        <v>8.3521014740546053E-4</v>
      </c>
      <c r="S95" s="2"/>
      <c r="T95" s="7">
        <v>8650</v>
      </c>
      <c r="U95" s="2"/>
      <c r="V95" s="6">
        <f t="shared" si="65"/>
        <v>2.3713371408143856E-3</v>
      </c>
      <c r="W95" s="2"/>
      <c r="X95" s="7">
        <f t="shared" si="66"/>
        <v>-7863.77</v>
      </c>
      <c r="Y95" s="2"/>
      <c r="Z95" s="6">
        <f t="shared" si="67"/>
        <v>-0.90910635838150289</v>
      </c>
    </row>
    <row r="96" spans="1:26" s="25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SUM(OSRRefD22_18x_0)</f>
        <v>160.30000000000001</v>
      </c>
      <c r="E96" s="1"/>
      <c r="F96" s="5">
        <f t="shared" si="60"/>
        <v>1.7778361394049785E-3</v>
      </c>
      <c r="G96" s="1"/>
      <c r="H96" s="1">
        <f>SUM(OSRRefH22_18x_0)</f>
        <v>300</v>
      </c>
      <c r="I96" s="1"/>
      <c r="J96" s="5">
        <f t="shared" si="61"/>
        <v>5.9854075763289105E-4</v>
      </c>
      <c r="K96" s="1"/>
      <c r="L96" s="1">
        <f t="shared" si="62"/>
        <v>-139.69999999999999</v>
      </c>
      <c r="M96" s="1"/>
      <c r="N96" s="5">
        <f t="shared" si="63"/>
        <v>-0.46566666666666662</v>
      </c>
      <c r="O96" s="13"/>
      <c r="P96" s="1">
        <f>SUM(OSRRefP22_18x_0)</f>
        <v>160.30000000000001</v>
      </c>
      <c r="Q96" s="1"/>
      <c r="R96" s="5">
        <f t="shared" si="64"/>
        <v>1.7028628598386646E-4</v>
      </c>
      <c r="S96" s="1"/>
      <c r="T96" s="1">
        <f>SUM(OSRRefT22_18x_0)</f>
        <v>3000</v>
      </c>
      <c r="U96" s="1"/>
      <c r="V96" s="5">
        <f t="shared" si="65"/>
        <v>8.2242906617839963E-4</v>
      </c>
      <c r="W96" s="1"/>
      <c r="X96" s="1">
        <f t="shared" si="66"/>
        <v>-2839.7</v>
      </c>
      <c r="Y96" s="1"/>
      <c r="Z96" s="5">
        <f t="shared" si="67"/>
        <v>-0.94656666666666656</v>
      </c>
    </row>
    <row r="97" spans="1:26" s="24" customFormat="1" hidden="1" outlineLevel="2" x14ac:dyDescent="0.25">
      <c r="A97" s="26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0"/>
        <v>0</v>
      </c>
      <c r="G97" s="2"/>
      <c r="H97" s="7">
        <v>300</v>
      </c>
      <c r="I97" s="2"/>
      <c r="J97" s="6">
        <f t="shared" si="61"/>
        <v>5.9854075763289105E-4</v>
      </c>
      <c r="K97" s="2"/>
      <c r="L97" s="7">
        <f t="shared" si="62"/>
        <v>-300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3000</v>
      </c>
      <c r="U97" s="2"/>
      <c r="V97" s="6">
        <f t="shared" si="65"/>
        <v>8.2242906617839963E-4</v>
      </c>
      <c r="W97" s="2"/>
      <c r="X97" s="7">
        <f t="shared" si="66"/>
        <v>-3000</v>
      </c>
      <c r="Y97" s="2"/>
      <c r="Z97" s="6">
        <f t="shared" si="67"/>
        <v>-1</v>
      </c>
    </row>
    <row r="98" spans="1:26" s="24" customFormat="1" hidden="1" outlineLevel="2" x14ac:dyDescent="0.25">
      <c r="A98" s="26"/>
      <c r="B98" s="11" t="str">
        <f>CONCATENATE("          ", "6294", " - ", "TRAVEL OPERATIONAL")</f>
        <v xml:space="preserve">          6294 - TRAVEL OPERATIONAL</v>
      </c>
      <c r="C98" s="11"/>
      <c r="D98" s="7">
        <v>160.30000000000001</v>
      </c>
      <c r="E98" s="2"/>
      <c r="F98" s="6">
        <f t="shared" si="60"/>
        <v>1.7778361394049785E-3</v>
      </c>
      <c r="G98" s="2"/>
      <c r="H98" s="7"/>
      <c r="I98" s="2"/>
      <c r="J98" s="6">
        <f t="shared" si="61"/>
        <v>0</v>
      </c>
      <c r="K98" s="2"/>
      <c r="L98" s="7">
        <f t="shared" si="62"/>
        <v>160.30000000000001</v>
      </c>
      <c r="M98" s="2"/>
      <c r="N98" s="6">
        <f t="shared" si="63"/>
        <v>0</v>
      </c>
      <c r="O98" s="11"/>
      <c r="P98" s="7">
        <v>160.30000000000001</v>
      </c>
      <c r="Q98" s="2"/>
      <c r="R98" s="6">
        <f t="shared" si="64"/>
        <v>1.7028628598386646E-4</v>
      </c>
      <c r="S98" s="2"/>
      <c r="T98" s="7"/>
      <c r="U98" s="2"/>
      <c r="V98" s="6">
        <f t="shared" si="65"/>
        <v>0</v>
      </c>
      <c r="W98" s="2"/>
      <c r="X98" s="7">
        <f t="shared" si="66"/>
        <v>160.30000000000001</v>
      </c>
      <c r="Y98" s="2"/>
      <c r="Z98" s="6">
        <f t="shared" si="67"/>
        <v>0</v>
      </c>
    </row>
    <row r="99" spans="1:26" s="61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293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277</v>
      </c>
      <c r="C102" s="28"/>
      <c r="D102" s="21">
        <f>+D23-D25+D100</f>
        <v>-202722.22999999998</v>
      </c>
      <c r="E102" s="14"/>
      <c r="F102" s="20">
        <f>IF(D$12=0,0,D102/D$12)</f>
        <v>-2.2483275530553217</v>
      </c>
      <c r="G102" s="14"/>
      <c r="H102" s="21">
        <f>+H23-H25+H100</f>
        <v>-45326.041648157698</v>
      </c>
      <c r="I102" s="14"/>
      <c r="J102" s="20">
        <f>IF(H$12=0,0,H102/H$12)</f>
        <v>-9.0431611028627595E-2</v>
      </c>
      <c r="K102" s="16"/>
      <c r="L102" s="21">
        <f>+D102-H102</f>
        <v>-157396.18835184228</v>
      </c>
      <c r="M102" s="16"/>
      <c r="N102" s="20">
        <f>IF(H102=0,0,L102/H102)</f>
        <v>3.4725332861322062</v>
      </c>
      <c r="O102" s="29"/>
      <c r="P102" s="21">
        <f>+P23-P25+P100</f>
        <v>-1741881.1899999992</v>
      </c>
      <c r="Q102" s="14"/>
      <c r="R102" s="20">
        <f>IF(P$12=0,0,P102/P$12)</f>
        <v>-1.8503959979429663</v>
      </c>
      <c r="S102" s="14"/>
      <c r="T102" s="21">
        <f>+T23-T25+T100</f>
        <v>-1032314.6812381372</v>
      </c>
      <c r="U102" s="14"/>
      <c r="V102" s="20">
        <f>IF(T$12=0,0,T102/T$12)</f>
        <v>-0.28300186643097786</v>
      </c>
      <c r="W102" s="16"/>
      <c r="X102" s="21">
        <f>+P102-T102</f>
        <v>-709566.50876186206</v>
      </c>
      <c r="Y102" s="16"/>
      <c r="Z102" s="20">
        <f>IF(T102=0,0,X102/T102)</f>
        <v>0.68735485570235466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128</v>
      </c>
      <c r="C104" s="10"/>
      <c r="D104" s="4">
        <v>21512.41</v>
      </c>
      <c r="E104" s="4"/>
      <c r="F104" s="12">
        <f>IF(D$12=0,0,D104/D$12)</f>
        <v>0.23858727351027481</v>
      </c>
      <c r="G104" s="4"/>
      <c r="H104" s="4">
        <v>104346</v>
      </c>
      <c r="I104" s="4"/>
      <c r="J104" s="12">
        <f>IF(H$12=0,0,H104/H$12)</f>
        <v>0.20818444631987215</v>
      </c>
      <c r="K104" s="4"/>
      <c r="L104" s="4">
        <f>+D104-H104</f>
        <v>-82833.59</v>
      </c>
      <c r="M104" s="4"/>
      <c r="N104" s="12">
        <f>IF(H104=0,0,L104/H104)</f>
        <v>-0.79383579629310175</v>
      </c>
      <c r="O104" s="10"/>
      <c r="P104" s="4">
        <v>196935.47</v>
      </c>
      <c r="Q104" s="4"/>
      <c r="R104" s="12">
        <f>IF(P$12=0,0,P104/P$12)</f>
        <v>0.20920405342973894</v>
      </c>
      <c r="S104" s="4"/>
      <c r="T104" s="4">
        <v>660774</v>
      </c>
      <c r="U104" s="4"/>
      <c r="V104" s="12">
        <f>IF(T$12=0,0,T104/T$12)</f>
        <v>0.18114658125832195</v>
      </c>
      <c r="W104" s="4"/>
      <c r="X104" s="4">
        <f>+P104-T104</f>
        <v>-463838.53</v>
      </c>
      <c r="Y104" s="4"/>
      <c r="Z104" s="12">
        <f>IF(T104=0,0,X104/T104)</f>
        <v>-0.70196244101614169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126</v>
      </c>
      <c r="C106" s="28"/>
      <c r="D106" s="31">
        <f>+D102-D104</f>
        <v>-224234.63999999998</v>
      </c>
      <c r="E106" s="14"/>
      <c r="F106" s="33">
        <f>IF(D$12=0,0,D106/D$12)</f>
        <v>-2.4869148265655965</v>
      </c>
      <c r="G106" s="14"/>
      <c r="H106" s="31">
        <f>+H102-H104</f>
        <v>-149672.0416481577</v>
      </c>
      <c r="I106" s="14"/>
      <c r="J106" s="33">
        <f>IF(H$12=0,0,H106/H$12)</f>
        <v>-0.29861605734849977</v>
      </c>
      <c r="K106" s="16"/>
      <c r="L106" s="31">
        <f>D106-H106</f>
        <v>-74562.598351842287</v>
      </c>
      <c r="M106" s="16"/>
      <c r="N106" s="33">
        <f>IF(H106=0,0,L106/H106)</f>
        <v>0.4981731893997991</v>
      </c>
      <c r="O106" s="29"/>
      <c r="P106" s="31">
        <f>+P102-P104</f>
        <v>-1938816.6599999992</v>
      </c>
      <c r="Q106" s="14"/>
      <c r="R106" s="33">
        <f>IF(P$12=0,0,P106/P$12)</f>
        <v>-2.0596000513727053</v>
      </c>
      <c r="S106" s="14"/>
      <c r="T106" s="31">
        <f>+T102-T104</f>
        <v>-1693088.6812381372</v>
      </c>
      <c r="U106" s="14"/>
      <c r="V106" s="33">
        <f>IF(T$12=0,0,T106/T$12)</f>
        <v>-0.4641484476892998</v>
      </c>
      <c r="W106" s="16"/>
      <c r="X106" s="31">
        <f>P106-T106</f>
        <v>-245727.97876186203</v>
      </c>
      <c r="Y106" s="16"/>
      <c r="Z106" s="33">
        <f>IF(T106=0,0,X106/T106)</f>
        <v>0.14513591726463132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294</v>
      </c>
      <c r="C109" s="28"/>
      <c r="D109" s="34">
        <f>SUM(D106:D108)</f>
        <v>-224234.63999999998</v>
      </c>
      <c r="E109" s="14"/>
      <c r="F109" s="35">
        <f>IF(D$12=0,0,D109/D$12)</f>
        <v>-2.4869148265655965</v>
      </c>
      <c r="G109" s="14"/>
      <c r="H109" s="34">
        <f>SUM(H106:H108)</f>
        <v>-149672.0416481577</v>
      </c>
      <c r="I109" s="14"/>
      <c r="J109" s="35">
        <f>IF(H$12=0,0,H109/H$12)</f>
        <v>-0.29861605734849977</v>
      </c>
      <c r="K109" s="16"/>
      <c r="L109" s="34">
        <f>+D109-H109</f>
        <v>-74562.598351842287</v>
      </c>
      <c r="M109" s="16"/>
      <c r="N109" s="35">
        <f>IF(H109=0,0,L109/H109)</f>
        <v>0.4981731893997991</v>
      </c>
      <c r="O109" s="29"/>
      <c r="P109" s="34">
        <f>SUM(P106:P108)</f>
        <v>-1938816.6599999992</v>
      </c>
      <c r="Q109" s="14"/>
      <c r="R109" s="35">
        <f>IF(P$12=0,0,P109/P$12)</f>
        <v>-2.0596000513727053</v>
      </c>
      <c r="S109" s="14"/>
      <c r="T109" s="34">
        <f>SUM(T106:T108)</f>
        <v>-1693088.6812381372</v>
      </c>
      <c r="U109" s="14"/>
      <c r="V109" s="35">
        <f>IF(T$12=0,0,T109/T$12)</f>
        <v>-0.4641484476892998</v>
      </c>
      <c r="W109" s="16"/>
      <c r="X109" s="34">
        <f>+P109-T109</f>
        <v>-245727.97876186203</v>
      </c>
      <c r="Y109" s="16"/>
      <c r="Z109" s="35">
        <f>IF(T109=0,0,X109/T109)</f>
        <v>0.14513591726463132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2">
        <v>44330.005791203701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6" t="s">
        <v>56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5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18741.91</v>
      </c>
      <c r="E18" s="22"/>
      <c r="F18" s="32">
        <f t="shared" ref="F18:F28" si="0">IF(D$12=0,0,D18/D$12)</f>
        <v>0</v>
      </c>
      <c r="G18" s="22"/>
      <c r="H18" s="22">
        <f>SUM(OSRRefH22x_0)</f>
        <v>16506.915925000001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2234.9940749999987</v>
      </c>
      <c r="M18" s="4"/>
      <c r="N18" s="32">
        <f t="shared" ref="N18:N28" si="3">IF(H18=0,0,L18/H18)</f>
        <v>0.13539743493907683</v>
      </c>
      <c r="O18" s="10"/>
      <c r="P18" s="22">
        <f>SUM(OSRRefP22x_0)</f>
        <v>172019.20000000001</v>
      </c>
      <c r="Q18" s="22"/>
      <c r="R18" s="32">
        <f t="shared" ref="R18:R28" si="4">IF(P$12=0,0,P18/P$12)</f>
        <v>0</v>
      </c>
      <c r="S18" s="22"/>
      <c r="T18" s="22">
        <f>SUM(OSRRefT22x_0)</f>
        <v>189081.86014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-17062.660139999993</v>
      </c>
      <c r="Y18" s="4"/>
      <c r="Z18" s="32">
        <f t="shared" ref="Z18:Z28" si="7">IF(T18=0,0,X18/T18)</f>
        <v>-9.0239540310035324E-2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6282.49</v>
      </c>
      <c r="E19" s="1"/>
      <c r="F19" s="5">
        <f t="shared" si="0"/>
        <v>0</v>
      </c>
      <c r="G19" s="1"/>
      <c r="H19" s="1">
        <f>SUM(OSRRefH22_0x_0)</f>
        <v>4869.2909250000002</v>
      </c>
      <c r="I19" s="1"/>
      <c r="J19" s="5">
        <f t="shared" si="1"/>
        <v>0</v>
      </c>
      <c r="K19" s="1"/>
      <c r="L19" s="1">
        <f t="shared" si="2"/>
        <v>1413.1990749999995</v>
      </c>
      <c r="M19" s="1"/>
      <c r="N19" s="5">
        <f t="shared" si="3"/>
        <v>0.29022687220110993</v>
      </c>
      <c r="O19" s="13"/>
      <c r="P19" s="1">
        <f>SUM(OSRRefP22_0x_0)</f>
        <v>57962.799999999996</v>
      </c>
      <c r="Q19" s="1"/>
      <c r="R19" s="5">
        <f t="shared" si="4"/>
        <v>0</v>
      </c>
      <c r="S19" s="1"/>
      <c r="T19" s="1">
        <f>SUM(OSRRefT22_0x_0)</f>
        <v>45225.760140000006</v>
      </c>
      <c r="U19" s="1"/>
      <c r="V19" s="5">
        <f t="shared" si="5"/>
        <v>0</v>
      </c>
      <c r="W19" s="1"/>
      <c r="X19" s="1">
        <f t="shared" si="6"/>
        <v>12737.03985999999</v>
      </c>
      <c r="Y19" s="1"/>
      <c r="Z19" s="5">
        <f t="shared" si="7"/>
        <v>0.28163241083337132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1039.5899999999999</v>
      </c>
      <c r="E20" s="2"/>
      <c r="F20" s="6">
        <f t="shared" si="0"/>
        <v>0</v>
      </c>
      <c r="G20" s="2"/>
      <c r="H20" s="7">
        <v>856.94467499999996</v>
      </c>
      <c r="I20" s="2"/>
      <c r="J20" s="6">
        <f t="shared" si="1"/>
        <v>0</v>
      </c>
      <c r="K20" s="2"/>
      <c r="L20" s="7">
        <f t="shared" si="2"/>
        <v>182.64532499999996</v>
      </c>
      <c r="M20" s="2"/>
      <c r="N20" s="6">
        <f t="shared" si="3"/>
        <v>0.21313549208996482</v>
      </c>
      <c r="O20" s="11"/>
      <c r="P20" s="7">
        <v>7785.54</v>
      </c>
      <c r="Q20" s="2"/>
      <c r="R20" s="6">
        <f t="shared" si="4"/>
        <v>0</v>
      </c>
      <c r="S20" s="2"/>
      <c r="T20" s="7">
        <v>7541.1131400000004</v>
      </c>
      <c r="U20" s="2"/>
      <c r="V20" s="6">
        <f t="shared" si="5"/>
        <v>0</v>
      </c>
      <c r="W20" s="2"/>
      <c r="X20" s="7">
        <f t="shared" si="6"/>
        <v>244.42685999999958</v>
      </c>
      <c r="Y20" s="2"/>
      <c r="Z20" s="6">
        <f t="shared" si="7"/>
        <v>3.2412570327780492E-2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387.58</v>
      </c>
      <c r="E21" s="2"/>
      <c r="F21" s="6">
        <f t="shared" si="0"/>
        <v>0</v>
      </c>
      <c r="G21" s="2"/>
      <c r="H21" s="7">
        <v>480.37275</v>
      </c>
      <c r="I21" s="2"/>
      <c r="J21" s="6">
        <f t="shared" si="1"/>
        <v>0</v>
      </c>
      <c r="K21" s="2"/>
      <c r="L21" s="7">
        <f t="shared" si="2"/>
        <v>-92.792750000000012</v>
      </c>
      <c r="M21" s="2"/>
      <c r="N21" s="6">
        <f t="shared" si="3"/>
        <v>-0.19316822196929367</v>
      </c>
      <c r="O21" s="11"/>
      <c r="P21" s="7">
        <v>4161.09</v>
      </c>
      <c r="Q21" s="2"/>
      <c r="R21" s="6">
        <f t="shared" si="4"/>
        <v>0</v>
      </c>
      <c r="S21" s="2"/>
      <c r="T21" s="7">
        <v>4227.2802000000001</v>
      </c>
      <c r="U21" s="2"/>
      <c r="V21" s="6">
        <f t="shared" si="5"/>
        <v>0</v>
      </c>
      <c r="W21" s="2"/>
      <c r="X21" s="7">
        <f t="shared" si="6"/>
        <v>-66.190200000000004</v>
      </c>
      <c r="Y21" s="2"/>
      <c r="Z21" s="6">
        <f t="shared" si="7"/>
        <v>-1.5657869095121728E-2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2691.73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711.73</v>
      </c>
      <c r="M22" s="2"/>
      <c r="N22" s="6">
        <f t="shared" si="3"/>
        <v>0.35945959595959598</v>
      </c>
      <c r="O22" s="11"/>
      <c r="P22" s="7">
        <v>27194.32</v>
      </c>
      <c r="Q22" s="2"/>
      <c r="R22" s="6">
        <f t="shared" si="4"/>
        <v>0</v>
      </c>
      <c r="S22" s="2"/>
      <c r="T22" s="7">
        <v>19800</v>
      </c>
      <c r="U22" s="2"/>
      <c r="V22" s="6">
        <f t="shared" si="5"/>
        <v>0</v>
      </c>
      <c r="W22" s="2"/>
      <c r="X22" s="7">
        <f t="shared" si="6"/>
        <v>7394.32</v>
      </c>
      <c r="Y22" s="2"/>
      <c r="Z22" s="6">
        <f t="shared" si="7"/>
        <v>0.37345050505050503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23.49</v>
      </c>
      <c r="E23" s="2"/>
      <c r="F23" s="6">
        <f t="shared" si="0"/>
        <v>0</v>
      </c>
      <c r="G23" s="2"/>
      <c r="H23" s="7">
        <v>29.113499999999998</v>
      </c>
      <c r="I23" s="2"/>
      <c r="J23" s="6">
        <f t="shared" si="1"/>
        <v>0</v>
      </c>
      <c r="K23" s="2"/>
      <c r="L23" s="7">
        <f t="shared" si="2"/>
        <v>-5.6234999999999999</v>
      </c>
      <c r="M23" s="2"/>
      <c r="N23" s="6">
        <f t="shared" si="3"/>
        <v>-0.1931578133855428</v>
      </c>
      <c r="O23" s="11"/>
      <c r="P23" s="7">
        <v>252.17</v>
      </c>
      <c r="Q23" s="2"/>
      <c r="R23" s="6">
        <f t="shared" si="4"/>
        <v>0</v>
      </c>
      <c r="S23" s="2"/>
      <c r="T23" s="7">
        <v>256.19880000000001</v>
      </c>
      <c r="U23" s="2"/>
      <c r="V23" s="6">
        <f t="shared" si="5"/>
        <v>0</v>
      </c>
      <c r="W23" s="2"/>
      <c r="X23" s="7">
        <f t="shared" si="6"/>
        <v>-4.0288000000000181</v>
      </c>
      <c r="Y23" s="2"/>
      <c r="Z23" s="6">
        <f t="shared" si="7"/>
        <v>-1.5725288330780698E-2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962.98500000000001</v>
      </c>
      <c r="I24" s="2"/>
      <c r="J24" s="6">
        <f t="shared" si="1"/>
        <v>0</v>
      </c>
      <c r="K24" s="2"/>
      <c r="L24" s="7">
        <f t="shared" si="2"/>
        <v>-270.41499999999996</v>
      </c>
      <c r="M24" s="2"/>
      <c r="N24" s="6">
        <f t="shared" si="3"/>
        <v>-0.2808091507136663</v>
      </c>
      <c r="O24" s="11"/>
      <c r="P24" s="7">
        <v>7618.28</v>
      </c>
      <c r="Q24" s="2"/>
      <c r="R24" s="6">
        <f t="shared" si="4"/>
        <v>0</v>
      </c>
      <c r="S24" s="2"/>
      <c r="T24" s="7">
        <v>8474.268</v>
      </c>
      <c r="U24" s="2"/>
      <c r="V24" s="6">
        <f t="shared" si="5"/>
        <v>0</v>
      </c>
      <c r="W24" s="2"/>
      <c r="X24" s="7">
        <f t="shared" si="6"/>
        <v>-855.98800000000028</v>
      </c>
      <c r="Y24" s="2"/>
      <c r="Z24" s="6">
        <f t="shared" si="7"/>
        <v>-0.10101025834915774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827.64</v>
      </c>
      <c r="E26" s="2"/>
      <c r="F26" s="6">
        <f t="shared" si="0"/>
        <v>0</v>
      </c>
      <c r="G26" s="2"/>
      <c r="H26" s="7">
        <v>335.92500000000001</v>
      </c>
      <c r="I26" s="2"/>
      <c r="J26" s="6">
        <f t="shared" si="1"/>
        <v>0</v>
      </c>
      <c r="K26" s="2"/>
      <c r="L26" s="7">
        <f t="shared" si="2"/>
        <v>491.71499999999997</v>
      </c>
      <c r="M26" s="2"/>
      <c r="N26" s="6">
        <f t="shared" si="3"/>
        <v>1.4637642330877427</v>
      </c>
      <c r="O26" s="11"/>
      <c r="P26" s="7">
        <v>6237.54</v>
      </c>
      <c r="Q26" s="2"/>
      <c r="R26" s="6">
        <f t="shared" si="4"/>
        <v>0</v>
      </c>
      <c r="S26" s="2"/>
      <c r="T26" s="7">
        <v>2956.14</v>
      </c>
      <c r="U26" s="2"/>
      <c r="V26" s="6">
        <f t="shared" si="5"/>
        <v>0</v>
      </c>
      <c r="W26" s="2"/>
      <c r="X26" s="7">
        <f t="shared" si="6"/>
        <v>3281.4</v>
      </c>
      <c r="Y26" s="2"/>
      <c r="Z26" s="6">
        <f t="shared" si="7"/>
        <v>1.1100286184010231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619.89</v>
      </c>
      <c r="E27" s="2"/>
      <c r="F27" s="6">
        <f t="shared" si="0"/>
        <v>0</v>
      </c>
      <c r="G27" s="2"/>
      <c r="H27" s="7">
        <v>223.95</v>
      </c>
      <c r="I27" s="2"/>
      <c r="J27" s="6">
        <f t="shared" si="1"/>
        <v>0</v>
      </c>
      <c r="K27" s="2"/>
      <c r="L27" s="7">
        <f t="shared" si="2"/>
        <v>395.94</v>
      </c>
      <c r="M27" s="2"/>
      <c r="N27" s="6">
        <f t="shared" si="3"/>
        <v>1.7679839249832552</v>
      </c>
      <c r="O27" s="11"/>
      <c r="P27" s="7">
        <v>4545.8599999999997</v>
      </c>
      <c r="Q27" s="2"/>
      <c r="R27" s="6">
        <f t="shared" si="4"/>
        <v>0</v>
      </c>
      <c r="S27" s="2"/>
      <c r="T27" s="7">
        <v>1970.76</v>
      </c>
      <c r="U27" s="2"/>
      <c r="V27" s="6">
        <f t="shared" si="5"/>
        <v>0</v>
      </c>
      <c r="W27" s="2"/>
      <c r="X27" s="7">
        <f t="shared" si="6"/>
        <v>2575.0999999999995</v>
      </c>
      <c r="Y27" s="2"/>
      <c r="Z27" s="6">
        <f t="shared" si="7"/>
        <v>1.306653270819379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168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168</v>
      </c>
      <c r="Y28" s="2"/>
      <c r="Z28" s="6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8959.42</v>
      </c>
      <c r="E29" s="1"/>
      <c r="F29" s="5">
        <f t="shared" ref="F29:F39" si="8">IF(D$12=0,0,D29/D$12)</f>
        <v>0</v>
      </c>
      <c r="G29" s="1"/>
      <c r="H29" s="1">
        <f>SUM(OSRRefH22_1x_0)</f>
        <v>10637.625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-1678.2049999999999</v>
      </c>
      <c r="M29" s="1"/>
      <c r="N29" s="5">
        <f t="shared" ref="N29:N39" si="11">IF(H29=0,0,L29/H29)</f>
        <v>-0.15776124839896122</v>
      </c>
      <c r="O29" s="13"/>
      <c r="P29" s="1">
        <f>SUM(OSRRefP22_1x_0)</f>
        <v>91164.32</v>
      </c>
      <c r="Q29" s="1"/>
      <c r="R29" s="5">
        <f t="shared" ref="R29:R39" si="12">IF(P$12=0,0,P29/P$12)</f>
        <v>0</v>
      </c>
      <c r="S29" s="1"/>
      <c r="T29" s="1">
        <f>SUM(OSRRefT22_1x_0)</f>
        <v>93611.1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-2446.7799999999988</v>
      </c>
      <c r="Y29" s="1"/>
      <c r="Z29" s="5">
        <f t="shared" ref="Z29:Z39" si="15">IF(T29=0,0,X29/T29)</f>
        <v>-2.6137712301212129E-2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8959.42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8959.42</v>
      </c>
      <c r="M30" s="2"/>
      <c r="N30" s="6">
        <f t="shared" si="11"/>
        <v>0</v>
      </c>
      <c r="O30" s="11"/>
      <c r="P30" s="7">
        <v>91164.32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91164.32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10637.625</v>
      </c>
      <c r="I31" s="2"/>
      <c r="J31" s="6">
        <f t="shared" si="9"/>
        <v>0</v>
      </c>
      <c r="K31" s="2"/>
      <c r="L31" s="7">
        <f t="shared" si="10"/>
        <v>-10637.625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93611.1</v>
      </c>
      <c r="U31" s="2"/>
      <c r="V31" s="6">
        <f t="shared" si="13"/>
        <v>0</v>
      </c>
      <c r="W31" s="2"/>
      <c r="X31" s="7">
        <f t="shared" si="14"/>
        <v>-93611.1</v>
      </c>
      <c r="Y31" s="2"/>
      <c r="Z31" s="6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3500</v>
      </c>
      <c r="M42" s="1"/>
      <c r="N42" s="5">
        <f t="shared" si="19"/>
        <v>0</v>
      </c>
      <c r="O42" s="13"/>
      <c r="P42" s="1">
        <f>SUM(OSRRefP22_3x_0)</f>
        <v>17500</v>
      </c>
      <c r="Q42" s="1"/>
      <c r="R42" s="5">
        <f t="shared" si="20"/>
        <v>0</v>
      </c>
      <c r="S42" s="1"/>
      <c r="T42" s="1">
        <f>SUM(OSRRefT22_3x_0)</f>
        <v>40245</v>
      </c>
      <c r="U42" s="1"/>
      <c r="V42" s="5">
        <f t="shared" si="21"/>
        <v>0</v>
      </c>
      <c r="W42" s="1"/>
      <c r="X42" s="1">
        <f t="shared" si="22"/>
        <v>-22745</v>
      </c>
      <c r="Y42" s="1"/>
      <c r="Z42" s="5">
        <f t="shared" si="23"/>
        <v>-0.5651633743322152</v>
      </c>
    </row>
    <row r="43" spans="1:26" s="24" customFormat="1" hidden="1" outlineLevel="2" x14ac:dyDescent="0.25">
      <c r="A43" s="26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3500</v>
      </c>
      <c r="M43" s="2"/>
      <c r="N43" s="6">
        <f t="shared" si="19"/>
        <v>0</v>
      </c>
      <c r="O43" s="11"/>
      <c r="P43" s="7">
        <v>17500</v>
      </c>
      <c r="Q43" s="2"/>
      <c r="R43" s="6">
        <f t="shared" si="20"/>
        <v>0</v>
      </c>
      <c r="S43" s="2"/>
      <c r="T43" s="7">
        <v>40245</v>
      </c>
      <c r="U43" s="2"/>
      <c r="V43" s="6">
        <f t="shared" si="21"/>
        <v>0</v>
      </c>
      <c r="W43" s="2"/>
      <c r="X43" s="7">
        <f t="shared" si="22"/>
        <v>-22745</v>
      </c>
      <c r="Y43" s="2"/>
      <c r="Z43" s="6">
        <f t="shared" si="23"/>
        <v>-0.5651633743322152</v>
      </c>
    </row>
    <row r="44" spans="1:26" s="25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3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4000</v>
      </c>
      <c r="U44" s="1"/>
      <c r="V44" s="5">
        <f t="shared" si="21"/>
        <v>0</v>
      </c>
      <c r="W44" s="1"/>
      <c r="X44" s="1">
        <f t="shared" si="22"/>
        <v>939.19999999999982</v>
      </c>
      <c r="Y44" s="1"/>
      <c r="Z44" s="5">
        <f t="shared" si="23"/>
        <v>0.23479999999999995</v>
      </c>
    </row>
    <row r="45" spans="1:26" s="24" customFormat="1" hidden="1" outlineLevel="2" x14ac:dyDescent="0.25">
      <c r="A45" s="26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1000</v>
      </c>
      <c r="U45" s="2"/>
      <c r="V45" s="6">
        <f t="shared" si="21"/>
        <v>0</v>
      </c>
      <c r="W45" s="2"/>
      <c r="X45" s="7">
        <f t="shared" si="22"/>
        <v>-1000</v>
      </c>
      <c r="Y45" s="2"/>
      <c r="Z45" s="6">
        <f t="shared" si="23"/>
        <v>-1</v>
      </c>
    </row>
    <row r="46" spans="1:26" s="24" customFormat="1" hidden="1" outlineLevel="2" x14ac:dyDescent="0.25">
      <c r="A46" s="26"/>
      <c r="B46" s="11" t="str">
        <f>CONCATENATE("          ", "6235", " - ", "COVID-19 EXPENSES")</f>
        <v xml:space="preserve">          6235 - COVID-19 EXPENSES</v>
      </c>
      <c r="C46" s="11"/>
      <c r="D46" s="7"/>
      <c r="E46" s="2"/>
      <c r="F46" s="6">
        <f t="shared" si="16"/>
        <v>0</v>
      </c>
      <c r="G46" s="2"/>
      <c r="H46" s="7">
        <v>200</v>
      </c>
      <c r="I46" s="2"/>
      <c r="J46" s="6">
        <f t="shared" si="17"/>
        <v>0</v>
      </c>
      <c r="K46" s="2"/>
      <c r="L46" s="7">
        <f t="shared" si="18"/>
        <v>-200</v>
      </c>
      <c r="M46" s="2"/>
      <c r="N46" s="6">
        <f t="shared" si="19"/>
        <v>-1</v>
      </c>
      <c r="O46" s="11"/>
      <c r="P46" s="7">
        <v>4939.2</v>
      </c>
      <c r="Q46" s="2"/>
      <c r="R46" s="6">
        <f t="shared" si="20"/>
        <v>0</v>
      </c>
      <c r="S46" s="2"/>
      <c r="T46" s="7">
        <v>2000</v>
      </c>
      <c r="U46" s="2"/>
      <c r="V46" s="6">
        <f t="shared" si="21"/>
        <v>0</v>
      </c>
      <c r="W46" s="2"/>
      <c r="X46" s="7">
        <f t="shared" si="22"/>
        <v>2939.2</v>
      </c>
      <c r="Y46" s="2"/>
      <c r="Z46" s="6">
        <f t="shared" si="23"/>
        <v>1.4696</v>
      </c>
    </row>
    <row r="47" spans="1:26" s="24" customFormat="1" hidden="1" outlineLevel="2" x14ac:dyDescent="0.25">
      <c r="A47" s="26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-100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1000</v>
      </c>
      <c r="U47" s="2"/>
      <c r="V47" s="6">
        <f t="shared" si="21"/>
        <v>0</v>
      </c>
      <c r="W47" s="2"/>
      <c r="X47" s="7">
        <f t="shared" si="22"/>
        <v>-1000</v>
      </c>
      <c r="Y47" s="2"/>
      <c r="Z47" s="6">
        <f t="shared" si="23"/>
        <v>-1</v>
      </c>
    </row>
    <row r="48" spans="1:26" s="25" customFormat="1" outlineLevel="1" collapsed="1" x14ac:dyDescent="0.25">
      <c r="A48" s="27"/>
      <c r="B48" s="13" t="str">
        <f>CONCATENATE("     ","Telephone/Data Lines                              ")</f>
        <v xml:space="preserve">     Telephone/Data Lines                              </v>
      </c>
      <c r="C48" s="13"/>
      <c r="D48" s="1">
        <f>SUM(OSRRefD22_5x_0)</f>
        <v>0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-100</v>
      </c>
      <c r="M48" s="1"/>
      <c r="N48" s="5">
        <f t="shared" ref="N48:N50" si="27">IF(H48=0,0,L48/H48)</f>
        <v>-1</v>
      </c>
      <c r="O48" s="13"/>
      <c r="P48" s="1">
        <f>SUM(OSRRefP22_5x_0)</f>
        <v>400</v>
      </c>
      <c r="Q48" s="1"/>
      <c r="R48" s="5">
        <f t="shared" ref="R48:R50" si="28">IF(P$12=0,0,P48/P$12)</f>
        <v>0</v>
      </c>
      <c r="S48" s="1"/>
      <c r="T48" s="1">
        <f>SUM(OSRRefT22_5x_0)</f>
        <v>1000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-600</v>
      </c>
      <c r="Y48" s="1"/>
      <c r="Z48" s="5">
        <f t="shared" ref="Z48:Z50" si="31">IF(T48=0,0,X48/T48)</f>
        <v>-0.6</v>
      </c>
    </row>
    <row r="49" spans="1:26" s="24" customFormat="1" hidden="1" outlineLevel="2" x14ac:dyDescent="0.25">
      <c r="A49" s="26"/>
      <c r="B49" s="11" t="str">
        <f>CONCATENATE("          ", "6303", " - ", "DATA PHONE LINES")</f>
        <v xml:space="preserve">          6303 - DATA PHONE LINES</v>
      </c>
      <c r="C49" s="11"/>
      <c r="D49" s="7"/>
      <c r="E49" s="2"/>
      <c r="F49" s="6">
        <f t="shared" si="24"/>
        <v>0</v>
      </c>
      <c r="G49" s="2"/>
      <c r="H49" s="7">
        <v>50</v>
      </c>
      <c r="I49" s="2"/>
      <c r="J49" s="6">
        <f t="shared" si="25"/>
        <v>0</v>
      </c>
      <c r="K49" s="2"/>
      <c r="L49" s="7">
        <f t="shared" si="26"/>
        <v>-50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4" customFormat="1" hidden="1" outlineLevel="2" x14ac:dyDescent="0.25">
      <c r="A50" s="26"/>
      <c r="B50" s="11" t="str">
        <f>CONCATENATE("          ", "6309", " - ", "TELEPHONE")</f>
        <v xml:space="preserve">          6309 - TELEPHONE</v>
      </c>
      <c r="C50" s="11"/>
      <c r="D50" s="7">
        <v>0</v>
      </c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-50</v>
      </c>
      <c r="M50" s="2"/>
      <c r="N50" s="6">
        <f t="shared" si="27"/>
        <v>-1</v>
      </c>
      <c r="O50" s="11"/>
      <c r="P50" s="7">
        <v>400</v>
      </c>
      <c r="Q50" s="2"/>
      <c r="R50" s="6">
        <f t="shared" si="28"/>
        <v>0</v>
      </c>
      <c r="S50" s="2"/>
      <c r="T50" s="7">
        <v>500</v>
      </c>
      <c r="U50" s="2"/>
      <c r="V50" s="6">
        <f t="shared" si="29"/>
        <v>0</v>
      </c>
      <c r="W50" s="2"/>
      <c r="X50" s="7">
        <f t="shared" si="30"/>
        <v>-100</v>
      </c>
      <c r="Y50" s="2"/>
      <c r="Z50" s="6">
        <f t="shared" si="31"/>
        <v>-0.2</v>
      </c>
    </row>
    <row r="51" spans="1:26" s="25" customFormat="1" outlineLevel="1" collapsed="1" x14ac:dyDescent="0.25">
      <c r="A51" s="27"/>
      <c r="B51" s="13" t="str">
        <f>CONCATENATE("     ","Training                                          ")</f>
        <v xml:space="preserve">     Training                                          </v>
      </c>
      <c r="C51" s="13"/>
      <c r="D51" s="1">
        <f>SUM(OSRRefD22_6x_0)</f>
        <v>0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-200</v>
      </c>
      <c r="M51" s="1"/>
      <c r="N51" s="5">
        <f t="shared" ref="N51:N54" si="35">IF(H51=0,0,L51/H51)</f>
        <v>-1</v>
      </c>
      <c r="O51" s="13"/>
      <c r="P51" s="1">
        <f>SUM(OSRRefP22_6x_0)</f>
        <v>51.23</v>
      </c>
      <c r="Q51" s="1"/>
      <c r="R51" s="5">
        <f t="shared" ref="R51:R54" si="36">IF(P$12=0,0,P51/P$12)</f>
        <v>0</v>
      </c>
      <c r="S51" s="1"/>
      <c r="T51" s="1">
        <f>SUM(OSRRefT22_6x_0)</f>
        <v>2000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-1948.77</v>
      </c>
      <c r="Y51" s="1"/>
      <c r="Z51" s="5">
        <f t="shared" ref="Z51:Z54" si="39">IF(T51=0,0,X51/T51)</f>
        <v>-0.97438499999999995</v>
      </c>
    </row>
    <row r="52" spans="1:26" s="24" customFormat="1" hidden="1" outlineLevel="2" x14ac:dyDescent="0.25">
      <c r="A52" s="26"/>
      <c r="B52" s="11" t="str">
        <f>CONCATENATE("          ", "6376", " - ", "TRAINING")</f>
        <v xml:space="preserve">          6376 - TRAINING</v>
      </c>
      <c r="C52" s="11"/>
      <c r="D52" s="7"/>
      <c r="E52" s="2"/>
      <c r="F52" s="6">
        <f t="shared" si="32"/>
        <v>0</v>
      </c>
      <c r="G52" s="2"/>
      <c r="H52" s="7">
        <v>200</v>
      </c>
      <c r="I52" s="2"/>
      <c r="J52" s="6">
        <f t="shared" si="33"/>
        <v>0</v>
      </c>
      <c r="K52" s="2"/>
      <c r="L52" s="7">
        <f t="shared" si="34"/>
        <v>-200</v>
      </c>
      <c r="M52" s="2"/>
      <c r="N52" s="6">
        <f t="shared" si="35"/>
        <v>-1</v>
      </c>
      <c r="O52" s="11"/>
      <c r="P52" s="7">
        <v>51.23</v>
      </c>
      <c r="Q52" s="2"/>
      <c r="R52" s="6">
        <f t="shared" si="36"/>
        <v>0</v>
      </c>
      <c r="S52" s="2"/>
      <c r="T52" s="7">
        <v>2000</v>
      </c>
      <c r="U52" s="2"/>
      <c r="V52" s="6">
        <f t="shared" si="37"/>
        <v>0</v>
      </c>
      <c r="W52" s="2"/>
      <c r="X52" s="7">
        <f t="shared" si="38"/>
        <v>-1948.77</v>
      </c>
      <c r="Y52" s="2"/>
      <c r="Z52" s="6">
        <f t="shared" si="39"/>
        <v>-0.97438499999999995</v>
      </c>
    </row>
    <row r="53" spans="1:26" s="25" customFormat="1" outlineLevel="1" collapsed="1" x14ac:dyDescent="0.25">
      <c r="A53" s="27"/>
      <c r="B53" s="13" t="str">
        <f>CONCATENATE("     ","Travel                                            ")</f>
        <v xml:space="preserve">     Travel                                            </v>
      </c>
      <c r="C53" s="13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3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3000</v>
      </c>
      <c r="U53" s="1"/>
      <c r="V53" s="5">
        <f t="shared" si="37"/>
        <v>0</v>
      </c>
      <c r="W53" s="1"/>
      <c r="X53" s="1">
        <f t="shared" si="38"/>
        <v>-3000</v>
      </c>
      <c r="Y53" s="1"/>
      <c r="Z53" s="5">
        <f t="shared" si="39"/>
        <v>-1</v>
      </c>
    </row>
    <row r="54" spans="1:26" s="24" customFormat="1" hidden="1" outlineLevel="2" x14ac:dyDescent="0.25">
      <c r="A54" s="26"/>
      <c r="B54" s="11" t="str">
        <f>CONCATENATE("          ", "6292", " - ", "TRAVEL/CONFERENCE")</f>
        <v xml:space="preserve">          6292 - TRAVEL/CONFERENCE</v>
      </c>
      <c r="C54" s="11"/>
      <c r="D54" s="7"/>
      <c r="E54" s="2"/>
      <c r="F54" s="6">
        <f t="shared" si="32"/>
        <v>0</v>
      </c>
      <c r="G54" s="2"/>
      <c r="H54" s="7">
        <v>300</v>
      </c>
      <c r="I54" s="2"/>
      <c r="J54" s="6">
        <f t="shared" si="33"/>
        <v>0</v>
      </c>
      <c r="K54" s="2"/>
      <c r="L54" s="7">
        <f t="shared" si="34"/>
        <v>-300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3000</v>
      </c>
      <c r="U54" s="2"/>
      <c r="V54" s="6">
        <f t="shared" si="37"/>
        <v>0</v>
      </c>
      <c r="W54" s="2"/>
      <c r="X54" s="7">
        <f t="shared" si="38"/>
        <v>-3000</v>
      </c>
      <c r="Y54" s="2"/>
      <c r="Z54" s="6">
        <f t="shared" si="39"/>
        <v>-1</v>
      </c>
    </row>
    <row r="55" spans="1:26" s="61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277</v>
      </c>
      <c r="C58" s="28"/>
      <c r="D58" s="21">
        <f>+D16-D18+D56</f>
        <v>-18741.91</v>
      </c>
      <c r="E58" s="14"/>
      <c r="F58" s="20">
        <f>IF(D$12=0,0,D58/D$12)</f>
        <v>0</v>
      </c>
      <c r="G58" s="14"/>
      <c r="H58" s="21">
        <f>+H16-H18+H56</f>
        <v>-16506.915925000001</v>
      </c>
      <c r="I58" s="14"/>
      <c r="J58" s="20">
        <f>IF(H$12=0,0,H58/H$12)</f>
        <v>0</v>
      </c>
      <c r="K58" s="16"/>
      <c r="L58" s="21">
        <f>+D58-H58</f>
        <v>-2234.9940749999987</v>
      </c>
      <c r="M58" s="16"/>
      <c r="N58" s="20">
        <f>IF(H58=0,0,L58/H58)</f>
        <v>0.13539743493907683</v>
      </c>
      <c r="O58" s="29"/>
      <c r="P58" s="21">
        <f>+P16-P18+P56</f>
        <v>-172019.20000000001</v>
      </c>
      <c r="Q58" s="14"/>
      <c r="R58" s="20">
        <f>IF(P$12=0,0,P58/P$12)</f>
        <v>0</v>
      </c>
      <c r="S58" s="14"/>
      <c r="T58" s="21">
        <f>+T16-T18+T56</f>
        <v>-189081.86014</v>
      </c>
      <c r="U58" s="14"/>
      <c r="V58" s="20">
        <f>IF(T$12=0,0,T58/T$12)</f>
        <v>0</v>
      </c>
      <c r="W58" s="16"/>
      <c r="X58" s="21">
        <f>+P58-T58</f>
        <v>17062.660139999993</v>
      </c>
      <c r="Y58" s="16"/>
      <c r="Z58" s="20">
        <f>IF(T58=0,0,X58/T58)</f>
        <v>-9.0239540310035324E-2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126</v>
      </c>
      <c r="C62" s="28"/>
      <c r="D62" s="31">
        <f>+D58-D60</f>
        <v>-18741.91</v>
      </c>
      <c r="E62" s="14"/>
      <c r="F62" s="33">
        <f>IF(D$12=0,0,D62/D$12)</f>
        <v>0</v>
      </c>
      <c r="G62" s="14"/>
      <c r="H62" s="31">
        <f>+H58-H60</f>
        <v>-16506.915925000001</v>
      </c>
      <c r="I62" s="14"/>
      <c r="J62" s="33">
        <f>IF(H$12=0,0,H62/H$12)</f>
        <v>0</v>
      </c>
      <c r="K62" s="16"/>
      <c r="L62" s="31">
        <f>D62-H62</f>
        <v>-2234.9940749999987</v>
      </c>
      <c r="M62" s="16"/>
      <c r="N62" s="33">
        <f>IF(H62=0,0,L62/H62)</f>
        <v>0.13539743493907683</v>
      </c>
      <c r="O62" s="29"/>
      <c r="P62" s="31">
        <f>+P58-P60</f>
        <v>-172019.20000000001</v>
      </c>
      <c r="Q62" s="14"/>
      <c r="R62" s="33">
        <f>IF(P$12=0,0,P62/P$12)</f>
        <v>0</v>
      </c>
      <c r="S62" s="14"/>
      <c r="T62" s="31">
        <f>+T58-T60</f>
        <v>-189081.86014</v>
      </c>
      <c r="U62" s="14"/>
      <c r="V62" s="33">
        <f>IF(T$12=0,0,T62/T$12)</f>
        <v>0</v>
      </c>
      <c r="W62" s="16"/>
      <c r="X62" s="31">
        <f>P62-T62</f>
        <v>17062.660139999993</v>
      </c>
      <c r="Y62" s="16"/>
      <c r="Z62" s="33">
        <f>IF(T62=0,0,X62/T62)</f>
        <v>-9.0239540310035324E-2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294</v>
      </c>
      <c r="C65" s="28"/>
      <c r="D65" s="34">
        <f>SUM(D62:D64)</f>
        <v>-18741.91</v>
      </c>
      <c r="E65" s="14"/>
      <c r="F65" s="35">
        <f>IF(D$12=0,0,D65/D$12)</f>
        <v>0</v>
      </c>
      <c r="G65" s="14"/>
      <c r="H65" s="34">
        <f>SUM(H62:H64)</f>
        <v>-16506.915925000001</v>
      </c>
      <c r="I65" s="14"/>
      <c r="J65" s="35">
        <f>IF(H$12=0,0,H65/H$12)</f>
        <v>0</v>
      </c>
      <c r="K65" s="16"/>
      <c r="L65" s="34">
        <f>+D65-H65</f>
        <v>-2234.9940749999987</v>
      </c>
      <c r="M65" s="16"/>
      <c r="N65" s="35">
        <f>IF(H65=0,0,L65/H65)</f>
        <v>0.13539743493907683</v>
      </c>
      <c r="O65" s="29"/>
      <c r="P65" s="34">
        <f>SUM(P62:P64)</f>
        <v>-172019.20000000001</v>
      </c>
      <c r="Q65" s="14"/>
      <c r="R65" s="35">
        <f>IF(P$12=0,0,P65/P$12)</f>
        <v>0</v>
      </c>
      <c r="S65" s="14"/>
      <c r="T65" s="34">
        <f>SUM(T62:T64)</f>
        <v>-189081.86014</v>
      </c>
      <c r="U65" s="14"/>
      <c r="V65" s="35">
        <f>IF(T$12=0,0,T65/T$12)</f>
        <v>0</v>
      </c>
      <c r="W65" s="16"/>
      <c r="X65" s="34">
        <f>+P65-T65</f>
        <v>17062.660139999993</v>
      </c>
      <c r="Y65" s="16"/>
      <c r="Z65" s="35">
        <f>IF(T65=0,0,X65/T65)</f>
        <v>-9.0239540310035324E-2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62">
        <v>44330.0058283912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6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5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139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229554</v>
      </c>
      <c r="I12" s="4"/>
      <c r="J12" s="12"/>
      <c r="K12" s="4"/>
      <c r="L12" s="4">
        <f t="shared" ref="L12:L16" si="0">+D12-H12</f>
        <v>-229554</v>
      </c>
      <c r="M12" s="4"/>
      <c r="N12" s="12">
        <f t="shared" ref="N12:N16" si="1">IF(H12=0,0,L12/H12)</f>
        <v>-1</v>
      </c>
      <c r="O12" s="10"/>
      <c r="P12" s="4">
        <f>SUM(OSRRefP13x_0)</f>
        <v>23641.919999999998</v>
      </c>
      <c r="Q12" s="4"/>
      <c r="R12" s="12"/>
      <c r="S12" s="4"/>
      <c r="T12" s="4">
        <f>SUM(OSRRefT13x_0)</f>
        <v>1575262</v>
      </c>
      <c r="U12" s="4"/>
      <c r="V12" s="12"/>
      <c r="W12" s="4"/>
      <c r="X12" s="4">
        <f t="shared" ref="X12:X16" si="2">+P12-T12</f>
        <v>-1551620.08</v>
      </c>
      <c r="Y12" s="4"/>
      <c r="Z12" s="12">
        <f t="shared" ref="Z12:Z16" si="3">IF(T12=0,0,X12/T12)</f>
        <v>-0.98499175375270909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--217.65</f>
        <v>217.65</v>
      </c>
      <c r="Q13" s="2"/>
      <c r="R13" s="19"/>
      <c r="S13" s="2"/>
      <c r="T13" s="2"/>
      <c r="U13" s="2"/>
      <c r="V13" s="19"/>
      <c r="W13" s="2"/>
      <c r="X13" s="2">
        <f t="shared" si="2"/>
        <v>217.65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229554</v>
      </c>
      <c r="I14" s="2"/>
      <c r="J14" s="19"/>
      <c r="K14" s="2"/>
      <c r="L14" s="2">
        <f t="shared" si="0"/>
        <v>-229554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1575262</v>
      </c>
      <c r="U14" s="2"/>
      <c r="V14" s="19"/>
      <c r="W14" s="2"/>
      <c r="X14" s="2">
        <f t="shared" si="2"/>
        <v>-1575262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--16096</f>
        <v>16096</v>
      </c>
      <c r="Q15" s="2"/>
      <c r="R15" s="19"/>
      <c r="S15" s="2"/>
      <c r="T15" s="2"/>
      <c r="U15" s="2"/>
      <c r="V15" s="19"/>
      <c r="W15" s="2"/>
      <c r="X15" s="2">
        <f t="shared" si="2"/>
        <v>16096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--7328.27</f>
        <v>7328.27</v>
      </c>
      <c r="Q16" s="2"/>
      <c r="R16" s="19"/>
      <c r="S16" s="2"/>
      <c r="T16" s="2"/>
      <c r="U16" s="2"/>
      <c r="V16" s="19"/>
      <c r="W16" s="2"/>
      <c r="X16" s="2">
        <f t="shared" si="2"/>
        <v>7328.27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57389</v>
      </c>
      <c r="I18" s="4"/>
      <c r="J18" s="12">
        <f t="shared" ref="J18:J21" si="6">IF(H$12=0,0,H18/H$12)</f>
        <v>0.2500021781367347</v>
      </c>
      <c r="K18" s="4"/>
      <c r="L18" s="4">
        <f t="shared" ref="L18:L21" si="7">+D18-H18</f>
        <v>-57389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1.0711025162084975</v>
      </c>
      <c r="S18" s="4"/>
      <c r="T18" s="4">
        <f>SUM(OSRRefT16x_0)</f>
        <v>423915</v>
      </c>
      <c r="U18" s="4"/>
      <c r="V18" s="12">
        <f t="shared" ref="V18:V21" si="10">IF(T$12=0,0,T18/T$12)</f>
        <v>0.26910761511418418</v>
      </c>
      <c r="W18" s="4"/>
      <c r="X18" s="4">
        <f t="shared" ref="X18:X21" si="11">+P18-T18</f>
        <v>-398592.08</v>
      </c>
      <c r="Y18" s="4"/>
      <c r="Z18" s="12">
        <f t="shared" ref="Z18:Z21" si="12">IF(T18=0,0,X18/T18)</f>
        <v>-0.94026415672953312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57389</v>
      </c>
      <c r="I19" s="2"/>
      <c r="J19" s="19">
        <f t="shared" si="6"/>
        <v>0.2500021781367347</v>
      </c>
      <c r="K19" s="2"/>
      <c r="L19" s="2">
        <f t="shared" si="7"/>
        <v>-57389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423915</v>
      </c>
      <c r="U19" s="2"/>
      <c r="V19" s="19">
        <f t="shared" si="10"/>
        <v>0.26910761511418418</v>
      </c>
      <c r="W19" s="2"/>
      <c r="X19" s="2">
        <f t="shared" si="11"/>
        <v>-423915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14410.92</v>
      </c>
      <c r="Q20" s="2"/>
      <c r="R20" s="19">
        <f t="shared" si="9"/>
        <v>0.60954947821496741</v>
      </c>
      <c r="S20" s="2"/>
      <c r="T20" s="2"/>
      <c r="U20" s="2"/>
      <c r="V20" s="19">
        <f t="shared" si="10"/>
        <v>0</v>
      </c>
      <c r="W20" s="2"/>
      <c r="X20" s="2">
        <f t="shared" si="11"/>
        <v>14410.92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10912</v>
      </c>
      <c r="Q21" s="2"/>
      <c r="R21" s="19">
        <f t="shared" si="9"/>
        <v>0.46155303799353015</v>
      </c>
      <c r="S21" s="2"/>
      <c r="T21" s="2"/>
      <c r="U21" s="2"/>
      <c r="V21" s="19">
        <f t="shared" si="10"/>
        <v>0</v>
      </c>
      <c r="W21" s="2"/>
      <c r="X21" s="2">
        <f t="shared" si="11"/>
        <v>10912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1">
        <f>D12-D18</f>
        <v>0</v>
      </c>
      <c r="E23" s="14"/>
      <c r="F23" s="20">
        <f>IF(D$12=0,0,D23/D$12)</f>
        <v>0</v>
      </c>
      <c r="G23" s="14"/>
      <c r="H23" s="21">
        <f>H12-H18</f>
        <v>172165</v>
      </c>
      <c r="I23" s="14"/>
      <c r="J23" s="20">
        <f>IF(H$12=0,0,H23/H$12)</f>
        <v>0.74999782186326525</v>
      </c>
      <c r="K23" s="16"/>
      <c r="L23" s="21">
        <f>+D23-H23</f>
        <v>-172165</v>
      </c>
      <c r="M23" s="16"/>
      <c r="N23" s="20">
        <f>IF(H23=0,0,L23/H23)</f>
        <v>-1</v>
      </c>
      <c r="O23" s="29"/>
      <c r="P23" s="21">
        <f>P12-P18</f>
        <v>-1681</v>
      </c>
      <c r="Q23" s="14"/>
      <c r="R23" s="20">
        <f>IF(P$12=0,0,P23/P$12)</f>
        <v>-7.110251620849746E-2</v>
      </c>
      <c r="S23" s="14"/>
      <c r="T23" s="21">
        <f>T12-T18</f>
        <v>1151347</v>
      </c>
      <c r="U23" s="14"/>
      <c r="V23" s="20">
        <f>IF(T$12=0,0,T23/T$12)</f>
        <v>0.73089238488581587</v>
      </c>
      <c r="W23" s="16"/>
      <c r="X23" s="21">
        <f>+P23-T23</f>
        <v>-1153028</v>
      </c>
      <c r="Y23" s="16"/>
      <c r="Z23" s="20">
        <f>IF(T23=0,0,X23/T23)</f>
        <v>-1.0014600289921283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52820.52</v>
      </c>
      <c r="E25" s="22"/>
      <c r="F25" s="32">
        <f t="shared" ref="F25:F36" si="13">IF(D$12=0,0,D25/D$12)</f>
        <v>0</v>
      </c>
      <c r="G25" s="22"/>
      <c r="H25" s="22">
        <f>SUM(OSRRefH22x_0)</f>
        <v>147816.5433934615</v>
      </c>
      <c r="I25" s="22"/>
      <c r="J25" s="32">
        <f t="shared" ref="J25:J36" si="14">IF(H$12=0,0,H25/H$12)</f>
        <v>0.64392928632679669</v>
      </c>
      <c r="K25" s="4"/>
      <c r="L25" s="22">
        <f t="shared" ref="L25:L36" si="15">+D25-H25</f>
        <v>-94996.02339346151</v>
      </c>
      <c r="M25" s="4"/>
      <c r="N25" s="32">
        <f t="shared" ref="N25:N36" si="16">IF(H25=0,0,L25/H25)</f>
        <v>-0.64266164809847359</v>
      </c>
      <c r="O25" s="10"/>
      <c r="P25" s="22">
        <f>SUM(OSRRefP22x_0)</f>
        <v>515181.00999999995</v>
      </c>
      <c r="Q25" s="22"/>
      <c r="R25" s="32">
        <f t="shared" ref="R25:R36" si="17">IF(P$12=0,0,P25/P$12)</f>
        <v>21.790997093298682</v>
      </c>
      <c r="S25" s="22"/>
      <c r="T25" s="22">
        <f>SUM(OSRRefT22x_0)</f>
        <v>1292844.7093384617</v>
      </c>
      <c r="U25" s="22"/>
      <c r="V25" s="32">
        <f t="shared" ref="V25:V36" si="18">IF(T$12=0,0,T25/T$12)</f>
        <v>0.82071725804244733</v>
      </c>
      <c r="W25" s="4"/>
      <c r="X25" s="22">
        <f t="shared" ref="X25:X36" si="19">+P25-T25</f>
        <v>-777663.69933846174</v>
      </c>
      <c r="Y25" s="4"/>
      <c r="Z25" s="32">
        <f t="shared" ref="Z25:Z36" si="20">IF(T25=0,0,X25/T25)</f>
        <v>-0.60151361855082042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22096.129999999997</v>
      </c>
      <c r="E26" s="1"/>
      <c r="F26" s="5">
        <f t="shared" si="13"/>
        <v>0</v>
      </c>
      <c r="G26" s="1"/>
      <c r="H26" s="1">
        <f>SUM(OSRRefH22_0x_0)</f>
        <v>35887.516470384617</v>
      </c>
      <c r="I26" s="1"/>
      <c r="J26" s="5">
        <f t="shared" si="14"/>
        <v>0.15633583588342881</v>
      </c>
      <c r="K26" s="1"/>
      <c r="L26" s="1">
        <f t="shared" si="15"/>
        <v>-13791.386470384619</v>
      </c>
      <c r="M26" s="1"/>
      <c r="N26" s="5">
        <f t="shared" si="16"/>
        <v>-0.3842948140968645</v>
      </c>
      <c r="O26" s="13"/>
      <c r="P26" s="1">
        <f>SUM(OSRRefP22_0x_0)</f>
        <v>209767.46</v>
      </c>
      <c r="Q26" s="1"/>
      <c r="R26" s="5">
        <f t="shared" si="17"/>
        <v>8.8726913888550509</v>
      </c>
      <c r="S26" s="1"/>
      <c r="T26" s="1">
        <f>SUM(OSRRefT22_0x_0)</f>
        <v>323154.67241538485</v>
      </c>
      <c r="U26" s="1"/>
      <c r="V26" s="5">
        <f t="shared" si="18"/>
        <v>0.20514344433839249</v>
      </c>
      <c r="W26" s="1"/>
      <c r="X26" s="1">
        <f t="shared" si="19"/>
        <v>-113387.21241538486</v>
      </c>
      <c r="Y26" s="1"/>
      <c r="Z26" s="5">
        <f t="shared" si="20"/>
        <v>-0.35087598012395838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2727.29</v>
      </c>
      <c r="E27" s="2"/>
      <c r="F27" s="6">
        <f t="shared" si="13"/>
        <v>0</v>
      </c>
      <c r="G27" s="2"/>
      <c r="H27" s="7">
        <v>4212.8028357692301</v>
      </c>
      <c r="I27" s="2"/>
      <c r="J27" s="6">
        <f t="shared" si="14"/>
        <v>1.835212122537281E-2</v>
      </c>
      <c r="K27" s="2"/>
      <c r="L27" s="7">
        <f t="shared" si="15"/>
        <v>-1485.5128357692302</v>
      </c>
      <c r="M27" s="2"/>
      <c r="N27" s="6">
        <f t="shared" si="16"/>
        <v>-0.35261864693888179</v>
      </c>
      <c r="O27" s="11"/>
      <c r="P27" s="7">
        <v>20703.87</v>
      </c>
      <c r="Q27" s="2"/>
      <c r="R27" s="6">
        <f t="shared" si="17"/>
        <v>0.87572709830673656</v>
      </c>
      <c r="S27" s="2"/>
      <c r="T27" s="7">
        <v>36731.279930769197</v>
      </c>
      <c r="U27" s="2"/>
      <c r="V27" s="6">
        <f t="shared" si="18"/>
        <v>2.3317568716041646E-2</v>
      </c>
      <c r="W27" s="2"/>
      <c r="X27" s="7">
        <f t="shared" si="19"/>
        <v>-16027.409930769198</v>
      </c>
      <c r="Y27" s="2"/>
      <c r="Z27" s="6">
        <f t="shared" si="20"/>
        <v>-0.43634226634567386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1035.1199999999999</v>
      </c>
      <c r="E28" s="2"/>
      <c r="F28" s="6">
        <f t="shared" si="13"/>
        <v>0</v>
      </c>
      <c r="G28" s="2"/>
      <c r="H28" s="7">
        <v>2907.7933499999999</v>
      </c>
      <c r="I28" s="2"/>
      <c r="J28" s="6">
        <f t="shared" si="14"/>
        <v>1.2667143025170548E-2</v>
      </c>
      <c r="K28" s="2"/>
      <c r="L28" s="7">
        <f t="shared" si="15"/>
        <v>-1872.67335</v>
      </c>
      <c r="M28" s="2"/>
      <c r="N28" s="6">
        <f t="shared" si="16"/>
        <v>-0.64401871955584467</v>
      </c>
      <c r="O28" s="11"/>
      <c r="P28" s="7">
        <v>11231.39</v>
      </c>
      <c r="Q28" s="2"/>
      <c r="R28" s="6">
        <f t="shared" si="17"/>
        <v>0.47506251607314465</v>
      </c>
      <c r="S28" s="2"/>
      <c r="T28" s="7">
        <v>24712.348979999999</v>
      </c>
      <c r="U28" s="2"/>
      <c r="V28" s="6">
        <f t="shared" si="18"/>
        <v>1.5687770656563797E-2</v>
      </c>
      <c r="W28" s="2"/>
      <c r="X28" s="7">
        <f t="shared" si="19"/>
        <v>-13480.958979999999</v>
      </c>
      <c r="Y28" s="2"/>
      <c r="Z28" s="6">
        <f t="shared" si="20"/>
        <v>-0.54551507794383702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11992.75</v>
      </c>
      <c r="E29" s="2"/>
      <c r="F29" s="6">
        <f t="shared" si="13"/>
        <v>0</v>
      </c>
      <c r="G29" s="2"/>
      <c r="H29" s="7">
        <v>21932.307692307699</v>
      </c>
      <c r="I29" s="2"/>
      <c r="J29" s="6">
        <f t="shared" si="14"/>
        <v>9.5543130123228945E-2</v>
      </c>
      <c r="K29" s="2"/>
      <c r="L29" s="7">
        <f t="shared" si="15"/>
        <v>-9939.5576923076987</v>
      </c>
      <c r="M29" s="2"/>
      <c r="N29" s="6">
        <f t="shared" si="16"/>
        <v>-0.45319251543209893</v>
      </c>
      <c r="O29" s="11"/>
      <c r="P29" s="7">
        <v>122109.23</v>
      </c>
      <c r="Q29" s="2"/>
      <c r="R29" s="6">
        <f t="shared" si="17"/>
        <v>5.1649455712564798</v>
      </c>
      <c r="S29" s="2"/>
      <c r="T29" s="7">
        <v>200132.30769230801</v>
      </c>
      <c r="U29" s="2"/>
      <c r="V29" s="6">
        <f t="shared" si="18"/>
        <v>0.12704699770089548</v>
      </c>
      <c r="W29" s="2"/>
      <c r="X29" s="7">
        <f t="shared" si="19"/>
        <v>-78023.077692308012</v>
      </c>
      <c r="Y29" s="2"/>
      <c r="Z29" s="6">
        <f t="shared" si="20"/>
        <v>-0.3898574827421869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62.73</v>
      </c>
      <c r="E30" s="2"/>
      <c r="F30" s="6">
        <f t="shared" si="13"/>
        <v>0</v>
      </c>
      <c r="G30" s="2"/>
      <c r="H30" s="7">
        <v>176.22989999999999</v>
      </c>
      <c r="I30" s="2"/>
      <c r="J30" s="6">
        <f t="shared" si="14"/>
        <v>7.6770563788912405E-4</v>
      </c>
      <c r="K30" s="2"/>
      <c r="L30" s="7">
        <f t="shared" si="15"/>
        <v>-113.4999</v>
      </c>
      <c r="M30" s="2"/>
      <c r="N30" s="6">
        <f t="shared" si="16"/>
        <v>-0.6440445123103401</v>
      </c>
      <c r="O30" s="11"/>
      <c r="P30" s="7">
        <v>680.68</v>
      </c>
      <c r="Q30" s="2"/>
      <c r="R30" s="6">
        <f t="shared" si="17"/>
        <v>2.8791231845806092E-2</v>
      </c>
      <c r="S30" s="2"/>
      <c r="T30" s="7">
        <v>1497.71812</v>
      </c>
      <c r="U30" s="2"/>
      <c r="V30" s="6">
        <f t="shared" si="18"/>
        <v>9.5077397918568471E-4</v>
      </c>
      <c r="W30" s="2"/>
      <c r="X30" s="7">
        <f t="shared" si="19"/>
        <v>-817.03812000000005</v>
      </c>
      <c r="Y30" s="2"/>
      <c r="Z30" s="6">
        <f t="shared" si="20"/>
        <v>-0.54552195709563833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950.04</v>
      </c>
      <c r="E31" s="2"/>
      <c r="F31" s="6">
        <f t="shared" si="13"/>
        <v>0</v>
      </c>
      <c r="G31" s="2"/>
      <c r="H31" s="7">
        <v>1557.60884615385</v>
      </c>
      <c r="I31" s="2"/>
      <c r="J31" s="6">
        <f t="shared" si="14"/>
        <v>6.7853700922390807E-3</v>
      </c>
      <c r="K31" s="2"/>
      <c r="L31" s="7">
        <f t="shared" si="15"/>
        <v>-607.56884615385002</v>
      </c>
      <c r="M31" s="2"/>
      <c r="N31" s="6">
        <f t="shared" si="16"/>
        <v>-0.39006509731509226</v>
      </c>
      <c r="O31" s="11"/>
      <c r="P31" s="7">
        <v>10530.87</v>
      </c>
      <c r="Q31" s="2"/>
      <c r="R31" s="6">
        <f t="shared" si="17"/>
        <v>0.4454320968855322</v>
      </c>
      <c r="S31" s="2"/>
      <c r="T31" s="7">
        <v>13706.9578461539</v>
      </c>
      <c r="U31" s="2"/>
      <c r="V31" s="6">
        <f t="shared" si="18"/>
        <v>8.7013829103691331E-3</v>
      </c>
      <c r="W31" s="2"/>
      <c r="X31" s="7">
        <f t="shared" si="19"/>
        <v>-3176.0878461538996</v>
      </c>
      <c r="Y31" s="2"/>
      <c r="Z31" s="6">
        <f t="shared" si="20"/>
        <v>-0.23171354882696257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374.92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374.92</v>
      </c>
      <c r="M33" s="2"/>
      <c r="N33" s="6">
        <f t="shared" si="16"/>
        <v>0</v>
      </c>
      <c r="O33" s="11"/>
      <c r="P33" s="7">
        <v>4050.02</v>
      </c>
      <c r="Q33" s="2"/>
      <c r="R33" s="6">
        <f t="shared" si="17"/>
        <v>0.17130672974107011</v>
      </c>
      <c r="S33" s="2"/>
      <c r="T33" s="7"/>
      <c r="U33" s="2"/>
      <c r="V33" s="6">
        <f t="shared" si="18"/>
        <v>0</v>
      </c>
      <c r="W33" s="2"/>
      <c r="X33" s="7">
        <f t="shared" si="19"/>
        <v>4050.02</v>
      </c>
      <c r="Y33" s="2"/>
      <c r="Z33" s="6">
        <f t="shared" si="20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2442.2399999999998</v>
      </c>
      <c r="E34" s="2"/>
      <c r="F34" s="6">
        <f t="shared" si="13"/>
        <v>0</v>
      </c>
      <c r="G34" s="2"/>
      <c r="H34" s="7">
        <v>1575.35192307692</v>
      </c>
      <c r="I34" s="2"/>
      <c r="J34" s="6">
        <f t="shared" si="14"/>
        <v>6.8626637875049881E-3</v>
      </c>
      <c r="K34" s="2"/>
      <c r="L34" s="7">
        <f t="shared" si="15"/>
        <v>866.88807692307978</v>
      </c>
      <c r="M34" s="2"/>
      <c r="N34" s="6">
        <f t="shared" si="16"/>
        <v>0.55028217138295399</v>
      </c>
      <c r="O34" s="11"/>
      <c r="P34" s="7">
        <v>19361.88</v>
      </c>
      <c r="Q34" s="2"/>
      <c r="R34" s="6">
        <f t="shared" si="17"/>
        <v>0.81896394201486189</v>
      </c>
      <c r="S34" s="2"/>
      <c r="T34" s="7">
        <v>13863.096923076901</v>
      </c>
      <c r="U34" s="2"/>
      <c r="V34" s="6">
        <f t="shared" si="18"/>
        <v>8.8005023437859233E-3</v>
      </c>
      <c r="W34" s="2"/>
      <c r="X34" s="7">
        <f t="shared" si="19"/>
        <v>5498.7830769231005</v>
      </c>
      <c r="Y34" s="2"/>
      <c r="Z34" s="6">
        <f t="shared" si="20"/>
        <v>0.39664896721378839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1617.93</v>
      </c>
      <c r="E35" s="2"/>
      <c r="F35" s="6">
        <f t="shared" si="13"/>
        <v>0</v>
      </c>
      <c r="G35" s="2"/>
      <c r="H35" s="7">
        <v>1775.4219230769199</v>
      </c>
      <c r="I35" s="2"/>
      <c r="J35" s="6">
        <f t="shared" si="14"/>
        <v>7.7342234205325109E-3</v>
      </c>
      <c r="K35" s="2"/>
      <c r="L35" s="7">
        <f t="shared" si="15"/>
        <v>-157.49192307691987</v>
      </c>
      <c r="M35" s="2"/>
      <c r="N35" s="6">
        <f t="shared" si="16"/>
        <v>-8.8706758111883791E-2</v>
      </c>
      <c r="O35" s="11"/>
      <c r="P35" s="7">
        <v>12959.45</v>
      </c>
      <c r="Q35" s="2"/>
      <c r="R35" s="6">
        <f t="shared" si="17"/>
        <v>0.54815556435348745</v>
      </c>
      <c r="S35" s="2"/>
      <c r="T35" s="7">
        <v>15010.962923076901</v>
      </c>
      <c r="U35" s="2"/>
      <c r="V35" s="6">
        <f t="shared" si="18"/>
        <v>9.5291849375385811E-3</v>
      </c>
      <c r="W35" s="2"/>
      <c r="X35" s="7">
        <f t="shared" si="19"/>
        <v>-2051.5129230768998</v>
      </c>
      <c r="Y35" s="2"/>
      <c r="Z35" s="6">
        <f t="shared" si="20"/>
        <v>-0.1366676430812466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893.11</v>
      </c>
      <c r="E36" s="2"/>
      <c r="F36" s="6">
        <f t="shared" si="13"/>
        <v>0</v>
      </c>
      <c r="G36" s="2"/>
      <c r="H36" s="7">
        <v>1750</v>
      </c>
      <c r="I36" s="2"/>
      <c r="J36" s="6">
        <f t="shared" si="14"/>
        <v>7.6234785714908038E-3</v>
      </c>
      <c r="K36" s="2"/>
      <c r="L36" s="7">
        <f t="shared" si="15"/>
        <v>-856.89</v>
      </c>
      <c r="M36" s="2"/>
      <c r="N36" s="6">
        <f t="shared" si="16"/>
        <v>-0.48965142857142857</v>
      </c>
      <c r="O36" s="11"/>
      <c r="P36" s="7">
        <v>8140.07</v>
      </c>
      <c r="Q36" s="2"/>
      <c r="R36" s="6">
        <f t="shared" si="17"/>
        <v>0.34430663837793207</v>
      </c>
      <c r="S36" s="2"/>
      <c r="T36" s="7">
        <v>17500</v>
      </c>
      <c r="U36" s="2"/>
      <c r="V36" s="6">
        <f t="shared" si="18"/>
        <v>1.1109263094012297E-2</v>
      </c>
      <c r="W36" s="2"/>
      <c r="X36" s="7">
        <f t="shared" si="19"/>
        <v>-9359.93</v>
      </c>
      <c r="Y36" s="2"/>
      <c r="Z36" s="6">
        <f t="shared" si="20"/>
        <v>-0.53485314285714292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24148.089999999997</v>
      </c>
      <c r="E37" s="1"/>
      <c r="F37" s="5">
        <f t="shared" ref="F37:F47" si="21">IF(D$12=0,0,D37/D$12)</f>
        <v>0</v>
      </c>
      <c r="G37" s="1"/>
      <c r="H37" s="1">
        <f>SUM(OSRRefH22_1x_0)</f>
        <v>65146.026923076904</v>
      </c>
      <c r="I37" s="1"/>
      <c r="J37" s="5">
        <f t="shared" ref="J37:J47" si="22">IF(H$12=0,0,H37/H$12)</f>
        <v>0.28379390872333699</v>
      </c>
      <c r="K37" s="1"/>
      <c r="L37" s="1">
        <f t="shared" ref="L37:L47" si="23">+D37-H37</f>
        <v>-40997.936923076908</v>
      </c>
      <c r="M37" s="1"/>
      <c r="N37" s="5">
        <f t="shared" ref="N37:N47" si="24">IF(H37=0,0,L37/H37)</f>
        <v>-0.62932367266980738</v>
      </c>
      <c r="O37" s="13"/>
      <c r="P37" s="1">
        <f>SUM(OSRRefP22_1x_0)</f>
        <v>224675.76</v>
      </c>
      <c r="Q37" s="1"/>
      <c r="R37" s="5">
        <f t="shared" ref="R37:R47" si="25">IF(P$12=0,0,P37/P$12)</f>
        <v>9.5032789215089135</v>
      </c>
      <c r="S37" s="1"/>
      <c r="T37" s="1">
        <f>SUM(OSRRefT22_1x_0)</f>
        <v>552860.03692307696</v>
      </c>
      <c r="U37" s="1"/>
      <c r="V37" s="5">
        <f t="shared" ref="V37:V47" si="26">IF(T$12=0,0,T37/T$12)</f>
        <v>0.35096386310536087</v>
      </c>
      <c r="W37" s="1"/>
      <c r="X37" s="1">
        <f t="shared" ref="X37:X47" si="27">+P37-T37</f>
        <v>-328184.27692307695</v>
      </c>
      <c r="Y37" s="1"/>
      <c r="Z37" s="5">
        <f t="shared" ref="Z37:Z47" si="28">IF(T37=0,0,X37/T37)</f>
        <v>-0.59361186377220354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9412.4</v>
      </c>
      <c r="E39" s="2"/>
      <c r="F39" s="6">
        <f t="shared" si="21"/>
        <v>0</v>
      </c>
      <c r="G39" s="2"/>
      <c r="H39" s="7">
        <v>17025.026923076901</v>
      </c>
      <c r="I39" s="2"/>
      <c r="J39" s="6">
        <f t="shared" si="22"/>
        <v>7.4165673101217577E-2</v>
      </c>
      <c r="K39" s="2"/>
      <c r="L39" s="7">
        <f t="shared" si="23"/>
        <v>-7612.6269230769012</v>
      </c>
      <c r="M39" s="2"/>
      <c r="N39" s="6">
        <f t="shared" si="24"/>
        <v>-0.44714331187096212</v>
      </c>
      <c r="O39" s="11"/>
      <c r="P39" s="7">
        <v>92568.39</v>
      </c>
      <c r="Q39" s="2"/>
      <c r="R39" s="6">
        <f t="shared" si="25"/>
        <v>3.9154345332358798</v>
      </c>
      <c r="S39" s="2"/>
      <c r="T39" s="7">
        <v>149820.236923077</v>
      </c>
      <c r="U39" s="2"/>
      <c r="V39" s="6">
        <f t="shared" si="26"/>
        <v>9.51081387877553E-2</v>
      </c>
      <c r="W39" s="2"/>
      <c r="X39" s="7">
        <f t="shared" si="27"/>
        <v>-57251.846923076999</v>
      </c>
      <c r="Y39" s="2"/>
      <c r="Z39" s="6">
        <f t="shared" si="28"/>
        <v>-0.38213694023506395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17918.689999999999</v>
      </c>
      <c r="E41" s="2"/>
      <c r="F41" s="6">
        <f t="shared" si="21"/>
        <v>0</v>
      </c>
      <c r="G41" s="2"/>
      <c r="H41" s="7">
        <v>35388</v>
      </c>
      <c r="I41" s="2"/>
      <c r="J41" s="6">
        <f t="shared" si="22"/>
        <v>0.15415980553595232</v>
      </c>
      <c r="K41" s="2"/>
      <c r="L41" s="7">
        <f t="shared" si="23"/>
        <v>-17469.310000000001</v>
      </c>
      <c r="M41" s="2"/>
      <c r="N41" s="6">
        <f t="shared" si="24"/>
        <v>-0.49365067254436534</v>
      </c>
      <c r="O41" s="11"/>
      <c r="P41" s="7">
        <v>132107.37</v>
      </c>
      <c r="Q41" s="2"/>
      <c r="R41" s="6">
        <f t="shared" si="25"/>
        <v>5.5878443882730338</v>
      </c>
      <c r="S41" s="2"/>
      <c r="T41" s="7">
        <v>306953.59999999998</v>
      </c>
      <c r="U41" s="2"/>
      <c r="V41" s="6">
        <f t="shared" si="26"/>
        <v>0.19485876000309788</v>
      </c>
      <c r="W41" s="2"/>
      <c r="X41" s="7">
        <f t="shared" si="27"/>
        <v>-174846.22999999998</v>
      </c>
      <c r="Y41" s="2"/>
      <c r="Z41" s="6">
        <f t="shared" si="28"/>
        <v>-0.56961778588034151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-3183</v>
      </c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-3183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12733</v>
      </c>
      <c r="I45" s="2"/>
      <c r="J45" s="6">
        <f t="shared" si="22"/>
        <v>5.5468430086167086E-2</v>
      </c>
      <c r="K45" s="2"/>
      <c r="L45" s="7">
        <f t="shared" si="23"/>
        <v>-12733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96086.2</v>
      </c>
      <c r="U45" s="2"/>
      <c r="V45" s="6">
        <f t="shared" si="26"/>
        <v>6.0996964314507678E-2</v>
      </c>
      <c r="W45" s="2"/>
      <c r="X45" s="7">
        <f t="shared" si="27"/>
        <v>-96086.2</v>
      </c>
      <c r="Y45" s="2"/>
      <c r="Z45" s="6">
        <f t="shared" si="28"/>
        <v>-1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500</v>
      </c>
      <c r="I48" s="1"/>
      <c r="J48" s="5">
        <f t="shared" ref="J48:J69" si="30">IF(H$12=0,0,H48/H$12)</f>
        <v>2.1781367347116581E-3</v>
      </c>
      <c r="K48" s="1"/>
      <c r="L48" s="1">
        <f t="shared" ref="L48:L69" si="31">+D48-H48</f>
        <v>-500</v>
      </c>
      <c r="M48" s="1"/>
      <c r="N48" s="5">
        <f t="shared" ref="N48:N69" si="32">IF(H48=0,0,L48/H48)</f>
        <v>-1</v>
      </c>
      <c r="O48" s="13"/>
      <c r="P48" s="1">
        <f>SUM(OSRRefP22_2x_0)</f>
        <v>204.75</v>
      </c>
      <c r="Q48" s="1"/>
      <c r="R48" s="5">
        <f t="shared" ref="R48:R69" si="33">IF(P$12=0,0,P48/P$12)</f>
        <v>8.660464124741139E-3</v>
      </c>
      <c r="S48" s="1"/>
      <c r="T48" s="1">
        <f>SUM(OSRRefT22_2x_0)</f>
        <v>5000</v>
      </c>
      <c r="U48" s="1"/>
      <c r="V48" s="5">
        <f t="shared" ref="V48:V69" si="34">IF(T$12=0,0,T48/T$12)</f>
        <v>3.1740751697177994E-3</v>
      </c>
      <c r="W48" s="1"/>
      <c r="X48" s="1">
        <f t="shared" ref="X48:X69" si="35">+P48-T48</f>
        <v>-4795.25</v>
      </c>
      <c r="Y48" s="1"/>
      <c r="Z48" s="5">
        <f t="shared" ref="Z48:Z69" si="36">IF(T48=0,0,X48/T48)</f>
        <v>-0.95904999999999996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2.1781367347116581E-3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8.660464124741139E-3</v>
      </c>
      <c r="S49" s="2"/>
      <c r="T49" s="7">
        <v>5000</v>
      </c>
      <c r="U49" s="2"/>
      <c r="V49" s="6">
        <f t="shared" si="34"/>
        <v>3.1740751697177994E-3</v>
      </c>
      <c r="W49" s="2"/>
      <c r="X49" s="7">
        <f t="shared" si="35"/>
        <v>-4795.25</v>
      </c>
      <c r="Y49" s="2"/>
      <c r="Z49" s="6">
        <f t="shared" si="36"/>
        <v>-0.95904999999999996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6.5344102041349752E-5</v>
      </c>
      <c r="K50" s="1"/>
      <c r="L50" s="1">
        <f t="shared" si="31"/>
        <v>-15</v>
      </c>
      <c r="M50" s="1"/>
      <c r="N50" s="5">
        <f t="shared" si="32"/>
        <v>-1</v>
      </c>
      <c r="O50" s="13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150</v>
      </c>
      <c r="U50" s="1"/>
      <c r="V50" s="5">
        <f t="shared" si="34"/>
        <v>9.5222255091533973E-5</v>
      </c>
      <c r="W50" s="1"/>
      <c r="X50" s="1">
        <f t="shared" si="35"/>
        <v>-150</v>
      </c>
      <c r="Y50" s="1"/>
      <c r="Z50" s="5">
        <f t="shared" si="36"/>
        <v>-1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6.5344102041349752E-5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>
        <v>0</v>
      </c>
      <c r="Q51" s="2"/>
      <c r="R51" s="6">
        <f t="shared" si="33"/>
        <v>0</v>
      </c>
      <c r="S51" s="2"/>
      <c r="T51" s="7">
        <v>150</v>
      </c>
      <c r="U51" s="2"/>
      <c r="V51" s="6">
        <f t="shared" si="34"/>
        <v>9.5222255091533973E-5</v>
      </c>
      <c r="W51" s="2"/>
      <c r="X51" s="7">
        <f t="shared" si="35"/>
        <v>-150</v>
      </c>
      <c r="Y51" s="2"/>
      <c r="Z51" s="6">
        <f t="shared" si="36"/>
        <v>-1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1.089068367355829E-3</v>
      </c>
      <c r="K52" s="1"/>
      <c r="L52" s="1">
        <f t="shared" si="31"/>
        <v>-250</v>
      </c>
      <c r="M52" s="1"/>
      <c r="N52" s="5">
        <f t="shared" si="32"/>
        <v>-1</v>
      </c>
      <c r="O52" s="13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2500</v>
      </c>
      <c r="U52" s="1"/>
      <c r="V52" s="5">
        <f t="shared" si="34"/>
        <v>1.5870375848588997E-3</v>
      </c>
      <c r="W52" s="1"/>
      <c r="X52" s="1">
        <f t="shared" si="35"/>
        <v>-2500</v>
      </c>
      <c r="Y52" s="1"/>
      <c r="Z52" s="5">
        <f t="shared" si="36"/>
        <v>-1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1.089068367355829E-3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2500</v>
      </c>
      <c r="U53" s="2"/>
      <c r="V53" s="6">
        <f t="shared" si="34"/>
        <v>1.5870375848588997E-3</v>
      </c>
      <c r="W53" s="2"/>
      <c r="X53" s="7">
        <f t="shared" si="35"/>
        <v>-2500</v>
      </c>
      <c r="Y53" s="2"/>
      <c r="Z53" s="6">
        <f t="shared" si="36"/>
        <v>-1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272.74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3"/>
      <c r="P54" s="1">
        <f>SUM(OSRRefP22_5x_0)</f>
        <v>2463.1799999999998</v>
      </c>
      <c r="Q54" s="1"/>
      <c r="R54" s="5">
        <f t="shared" si="33"/>
        <v>0.1041869695862265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2463.1799999999998</v>
      </c>
      <c r="Y54" s="1"/>
      <c r="Z54" s="5">
        <f t="shared" si="36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2463.1799999999998</v>
      </c>
      <c r="Q55" s="2"/>
      <c r="R55" s="6">
        <f t="shared" si="33"/>
        <v>0.1041869695862265</v>
      </c>
      <c r="S55" s="2"/>
      <c r="T55" s="7"/>
      <c r="U55" s="2"/>
      <c r="V55" s="6">
        <f t="shared" si="34"/>
        <v>0</v>
      </c>
      <c r="W55" s="2"/>
      <c r="X55" s="7">
        <f t="shared" si="35"/>
        <v>2463.1799999999998</v>
      </c>
      <c r="Y55" s="2"/>
      <c r="Z55" s="6">
        <f t="shared" si="36"/>
        <v>0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3.4850187755386529E-2</v>
      </c>
      <c r="K56" s="1"/>
      <c r="L56" s="1">
        <f t="shared" si="31"/>
        <v>-8000</v>
      </c>
      <c r="M56" s="1"/>
      <c r="N56" s="5">
        <f t="shared" si="32"/>
        <v>-1</v>
      </c>
      <c r="O56" s="13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66000</v>
      </c>
      <c r="U56" s="1"/>
      <c r="V56" s="5">
        <f t="shared" si="34"/>
        <v>4.1897792240274949E-2</v>
      </c>
      <c r="W56" s="1"/>
      <c r="X56" s="1">
        <f t="shared" si="35"/>
        <v>-66000</v>
      </c>
      <c r="Y56" s="1"/>
      <c r="Z56" s="5">
        <f t="shared" si="36"/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8000</v>
      </c>
      <c r="I57" s="2"/>
      <c r="J57" s="6">
        <f t="shared" si="30"/>
        <v>3.4850187755386529E-2</v>
      </c>
      <c r="K57" s="2"/>
      <c r="L57" s="7">
        <f t="shared" si="31"/>
        <v>-8000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66000</v>
      </c>
      <c r="U57" s="2"/>
      <c r="V57" s="6">
        <f t="shared" si="34"/>
        <v>4.1897792240274949E-2</v>
      </c>
      <c r="W57" s="2"/>
      <c r="X57" s="7">
        <f t="shared" si="35"/>
        <v>-66000</v>
      </c>
      <c r="Y57" s="2"/>
      <c r="Z57" s="6">
        <f t="shared" si="36"/>
        <v>-1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4.3562734694233164E-4</v>
      </c>
      <c r="K58" s="1"/>
      <c r="L58" s="1">
        <f t="shared" si="31"/>
        <v>-100</v>
      </c>
      <c r="M58" s="1"/>
      <c r="N58" s="5">
        <f t="shared" si="32"/>
        <v>-1</v>
      </c>
      <c r="O58" s="13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1000</v>
      </c>
      <c r="U58" s="1"/>
      <c r="V58" s="5">
        <f t="shared" si="34"/>
        <v>6.3481503394355982E-4</v>
      </c>
      <c r="W58" s="1"/>
      <c r="X58" s="1">
        <f t="shared" si="35"/>
        <v>-1000</v>
      </c>
      <c r="Y58" s="1"/>
      <c r="Z58" s="5">
        <f t="shared" si="36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4.3562734694233164E-4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1000</v>
      </c>
      <c r="U59" s="2"/>
      <c r="V59" s="6">
        <f t="shared" si="34"/>
        <v>6.3481503394355982E-4</v>
      </c>
      <c r="W59" s="2"/>
      <c r="X59" s="7">
        <f t="shared" si="35"/>
        <v>-1000</v>
      </c>
      <c r="Y59" s="2"/>
      <c r="Z59" s="6">
        <f t="shared" si="36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364.22</v>
      </c>
      <c r="E60" s="1"/>
      <c r="F60" s="5">
        <f t="shared" si="29"/>
        <v>0</v>
      </c>
      <c r="G60" s="1"/>
      <c r="H60" s="1">
        <f>SUM(OSRRefH22_8x_0)</f>
        <v>400</v>
      </c>
      <c r="I60" s="1"/>
      <c r="J60" s="5">
        <f t="shared" si="30"/>
        <v>1.7425093877693266E-3</v>
      </c>
      <c r="K60" s="1"/>
      <c r="L60" s="1">
        <f t="shared" si="31"/>
        <v>-35.779999999999973</v>
      </c>
      <c r="M60" s="1"/>
      <c r="N60" s="5">
        <f t="shared" si="32"/>
        <v>-8.9449999999999932E-2</v>
      </c>
      <c r="O60" s="13"/>
      <c r="P60" s="1">
        <f>SUM(OSRRefP22_8x_0)</f>
        <v>2286.35</v>
      </c>
      <c r="Q60" s="1"/>
      <c r="R60" s="5">
        <f t="shared" si="33"/>
        <v>9.67074586158823E-2</v>
      </c>
      <c r="S60" s="1"/>
      <c r="T60" s="1">
        <f>SUM(OSRRefT22_8x_0)</f>
        <v>4000</v>
      </c>
      <c r="U60" s="1"/>
      <c r="V60" s="5">
        <f t="shared" si="34"/>
        <v>2.5392601357742393E-3</v>
      </c>
      <c r="W60" s="1"/>
      <c r="X60" s="1">
        <f t="shared" si="35"/>
        <v>-1713.65</v>
      </c>
      <c r="Y60" s="1"/>
      <c r="Z60" s="5">
        <f t="shared" si="36"/>
        <v>-0.42841250000000003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364.22</v>
      </c>
      <c r="E61" s="2"/>
      <c r="F61" s="6">
        <f t="shared" si="29"/>
        <v>0</v>
      </c>
      <c r="G61" s="2"/>
      <c r="H61" s="7">
        <v>400</v>
      </c>
      <c r="I61" s="2"/>
      <c r="J61" s="6">
        <f t="shared" si="30"/>
        <v>1.7425093877693266E-3</v>
      </c>
      <c r="K61" s="2"/>
      <c r="L61" s="7">
        <f t="shared" si="31"/>
        <v>-35.779999999999973</v>
      </c>
      <c r="M61" s="2"/>
      <c r="N61" s="6">
        <f t="shared" si="32"/>
        <v>-8.9449999999999932E-2</v>
      </c>
      <c r="O61" s="11"/>
      <c r="P61" s="7">
        <v>2286.35</v>
      </c>
      <c r="Q61" s="2"/>
      <c r="R61" s="6">
        <f t="shared" si="33"/>
        <v>9.67074586158823E-2</v>
      </c>
      <c r="S61" s="2"/>
      <c r="T61" s="7">
        <v>4000</v>
      </c>
      <c r="U61" s="2"/>
      <c r="V61" s="6">
        <f t="shared" si="34"/>
        <v>2.5392601357742393E-3</v>
      </c>
      <c r="W61" s="2"/>
      <c r="X61" s="7">
        <f t="shared" si="35"/>
        <v>-1713.65</v>
      </c>
      <c r="Y61" s="2"/>
      <c r="Z61" s="6">
        <f t="shared" si="36"/>
        <v>-0.42841250000000003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19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6.5344102041349744E-4</v>
      </c>
      <c r="K62" s="1"/>
      <c r="L62" s="1">
        <f t="shared" si="31"/>
        <v>-131</v>
      </c>
      <c r="M62" s="1"/>
      <c r="N62" s="5">
        <f t="shared" si="32"/>
        <v>-0.87333333333333329</v>
      </c>
      <c r="O62" s="13"/>
      <c r="P62" s="1">
        <f>SUM(OSRRefP22_9x_0)</f>
        <v>3847.45</v>
      </c>
      <c r="Q62" s="1"/>
      <c r="R62" s="5">
        <f t="shared" si="33"/>
        <v>0.16273847470932987</v>
      </c>
      <c r="S62" s="1"/>
      <c r="T62" s="1">
        <f>SUM(OSRRefT22_9x_0)</f>
        <v>2850</v>
      </c>
      <c r="U62" s="1"/>
      <c r="V62" s="5">
        <f t="shared" si="34"/>
        <v>1.8092228467391457E-3</v>
      </c>
      <c r="W62" s="1"/>
      <c r="X62" s="1">
        <f t="shared" si="35"/>
        <v>997.44999999999982</v>
      </c>
      <c r="Y62" s="1"/>
      <c r="Z62" s="5">
        <f t="shared" si="36"/>
        <v>0.34998245614035084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>
        <v>19</v>
      </c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6.5344102041349744E-4</v>
      </c>
      <c r="K63" s="2"/>
      <c r="L63" s="7">
        <f t="shared" si="31"/>
        <v>-131</v>
      </c>
      <c r="M63" s="2"/>
      <c r="N63" s="6">
        <f t="shared" si="32"/>
        <v>-0.87333333333333329</v>
      </c>
      <c r="O63" s="11"/>
      <c r="P63" s="7">
        <v>3847.45</v>
      </c>
      <c r="Q63" s="2"/>
      <c r="R63" s="6">
        <f t="shared" si="33"/>
        <v>0.16273847470932987</v>
      </c>
      <c r="S63" s="2"/>
      <c r="T63" s="7">
        <v>2850</v>
      </c>
      <c r="U63" s="2"/>
      <c r="V63" s="6">
        <f t="shared" si="34"/>
        <v>1.8092228467391457E-3</v>
      </c>
      <c r="W63" s="2"/>
      <c r="X63" s="7">
        <f t="shared" si="35"/>
        <v>997.44999999999982</v>
      </c>
      <c r="Y63" s="2"/>
      <c r="Z63" s="6">
        <f t="shared" si="36"/>
        <v>0.34998245614035084</v>
      </c>
    </row>
    <row r="64" spans="1:26" s="25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18364</v>
      </c>
      <c r="I64" s="1"/>
      <c r="J64" s="5">
        <f t="shared" si="30"/>
        <v>7.9998605992489785E-2</v>
      </c>
      <c r="K64" s="1"/>
      <c r="L64" s="1">
        <f t="shared" si="31"/>
        <v>-18364</v>
      </c>
      <c r="M64" s="1"/>
      <c r="N64" s="5">
        <f t="shared" si="32"/>
        <v>-1</v>
      </c>
      <c r="O64" s="13"/>
      <c r="P64" s="1">
        <f>SUM(OSRRefP22_10x_0)</f>
        <v>1899.35</v>
      </c>
      <c r="Q64" s="1"/>
      <c r="R64" s="5">
        <f t="shared" si="33"/>
        <v>8.0338229720767179E-2</v>
      </c>
      <c r="S64" s="1"/>
      <c r="T64" s="1">
        <f>SUM(OSRRefT22_10x_0)</f>
        <v>126022</v>
      </c>
      <c r="U64" s="1"/>
      <c r="V64" s="5">
        <f t="shared" si="34"/>
        <v>8.0000660207635299E-2</v>
      </c>
      <c r="W64" s="1"/>
      <c r="X64" s="1">
        <f t="shared" si="35"/>
        <v>-124122.65</v>
      </c>
      <c r="Y64" s="1"/>
      <c r="Z64" s="5">
        <f t="shared" si="36"/>
        <v>-0.98492842519560075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7"/>
      <c r="E65" s="2"/>
      <c r="F65" s="6">
        <f t="shared" si="29"/>
        <v>0</v>
      </c>
      <c r="G65" s="2"/>
      <c r="H65" s="7">
        <v>18364</v>
      </c>
      <c r="I65" s="2"/>
      <c r="J65" s="6">
        <f t="shared" si="30"/>
        <v>7.9998605992489785E-2</v>
      </c>
      <c r="K65" s="2"/>
      <c r="L65" s="7">
        <f t="shared" si="31"/>
        <v>-18364</v>
      </c>
      <c r="M65" s="2"/>
      <c r="N65" s="6">
        <f t="shared" si="32"/>
        <v>-1</v>
      </c>
      <c r="O65" s="11"/>
      <c r="P65" s="7">
        <v>1899.35</v>
      </c>
      <c r="Q65" s="2"/>
      <c r="R65" s="6">
        <f t="shared" si="33"/>
        <v>8.0338229720767179E-2</v>
      </c>
      <c r="S65" s="2"/>
      <c r="T65" s="7">
        <v>126022</v>
      </c>
      <c r="U65" s="2"/>
      <c r="V65" s="6">
        <f t="shared" si="34"/>
        <v>8.0000660207635299E-2</v>
      </c>
      <c r="W65" s="2"/>
      <c r="X65" s="7">
        <f t="shared" si="35"/>
        <v>-124122.65</v>
      </c>
      <c r="Y65" s="2"/>
      <c r="Z65" s="6">
        <f t="shared" si="36"/>
        <v>-0.98492842519560075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29"/>
        <v>0</v>
      </c>
      <c r="G66" s="1"/>
      <c r="H66" s="1">
        <f>SUM(OSRRefH22_11x_0)</f>
        <v>200</v>
      </c>
      <c r="I66" s="1"/>
      <c r="J66" s="5">
        <f t="shared" si="30"/>
        <v>8.7125469388466329E-4</v>
      </c>
      <c r="K66" s="1"/>
      <c r="L66" s="1">
        <f t="shared" si="31"/>
        <v>-200</v>
      </c>
      <c r="M66" s="1"/>
      <c r="N66" s="5">
        <f t="shared" si="32"/>
        <v>-1</v>
      </c>
      <c r="O66" s="13"/>
      <c r="P66" s="1">
        <f>SUM(OSRRefP22_11x_0)</f>
        <v>1345.25</v>
      </c>
      <c r="Q66" s="1"/>
      <c r="R66" s="5">
        <f t="shared" si="33"/>
        <v>5.6901046953885308E-2</v>
      </c>
      <c r="S66" s="1"/>
      <c r="T66" s="1">
        <f>SUM(OSRRefT22_11x_0)</f>
        <v>15400</v>
      </c>
      <c r="U66" s="1"/>
      <c r="V66" s="5">
        <f t="shared" si="34"/>
        <v>9.7761515227308225E-3</v>
      </c>
      <c r="W66" s="1"/>
      <c r="X66" s="1">
        <f t="shared" si="35"/>
        <v>-14054.75</v>
      </c>
      <c r="Y66" s="1"/>
      <c r="Z66" s="5">
        <f t="shared" si="36"/>
        <v>-0.9126461038961039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0</v>
      </c>
      <c r="M67" s="2"/>
      <c r="N67" s="6">
        <f t="shared" si="32"/>
        <v>0</v>
      </c>
      <c r="O67" s="11"/>
      <c r="P67" s="7"/>
      <c r="Q67" s="2"/>
      <c r="R67" s="6">
        <f t="shared" si="33"/>
        <v>0</v>
      </c>
      <c r="S67" s="2"/>
      <c r="T67" s="7">
        <v>8000</v>
      </c>
      <c r="U67" s="2"/>
      <c r="V67" s="6">
        <f t="shared" si="34"/>
        <v>5.0785202715484786E-3</v>
      </c>
      <c r="W67" s="2"/>
      <c r="X67" s="7">
        <f t="shared" si="35"/>
        <v>-8000</v>
      </c>
      <c r="Y67" s="2"/>
      <c r="Z67" s="6">
        <f t="shared" si="36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9"/>
        <v>0</v>
      </c>
      <c r="G68" s="2"/>
      <c r="H68" s="7"/>
      <c r="I68" s="2"/>
      <c r="J68" s="6">
        <f t="shared" si="30"/>
        <v>0</v>
      </c>
      <c r="K68" s="2"/>
      <c r="L68" s="7">
        <f t="shared" si="31"/>
        <v>0</v>
      </c>
      <c r="M68" s="2"/>
      <c r="N68" s="6">
        <f t="shared" si="32"/>
        <v>0</v>
      </c>
      <c r="O68" s="11"/>
      <c r="P68" s="7">
        <v>1326.25</v>
      </c>
      <c r="Q68" s="2"/>
      <c r="R68" s="6">
        <f t="shared" si="33"/>
        <v>5.6097389721308594E-2</v>
      </c>
      <c r="S68" s="2"/>
      <c r="T68" s="7">
        <v>5400</v>
      </c>
      <c r="U68" s="2"/>
      <c r="V68" s="6">
        <f t="shared" si="34"/>
        <v>3.4280011832952231E-3</v>
      </c>
      <c r="W68" s="2"/>
      <c r="X68" s="7">
        <f t="shared" si="35"/>
        <v>-4073.75</v>
      </c>
      <c r="Y68" s="2"/>
      <c r="Z68" s="6">
        <f t="shared" si="36"/>
        <v>-0.7543981481481481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9"/>
        <v>0</v>
      </c>
      <c r="G69" s="2"/>
      <c r="H69" s="7">
        <v>200</v>
      </c>
      <c r="I69" s="2"/>
      <c r="J69" s="6">
        <f t="shared" si="30"/>
        <v>8.7125469388466329E-4</v>
      </c>
      <c r="K69" s="2"/>
      <c r="L69" s="7">
        <f t="shared" si="31"/>
        <v>-200</v>
      </c>
      <c r="M69" s="2"/>
      <c r="N69" s="6">
        <f t="shared" si="32"/>
        <v>-1</v>
      </c>
      <c r="O69" s="11"/>
      <c r="P69" s="7">
        <v>19</v>
      </c>
      <c r="Q69" s="2"/>
      <c r="R69" s="6">
        <f t="shared" si="33"/>
        <v>8.036572325767113E-4</v>
      </c>
      <c r="S69" s="2"/>
      <c r="T69" s="7">
        <v>2000</v>
      </c>
      <c r="U69" s="2"/>
      <c r="V69" s="6">
        <f t="shared" si="34"/>
        <v>1.2696300678871196E-3</v>
      </c>
      <c r="W69" s="2"/>
      <c r="X69" s="7">
        <f t="shared" si="35"/>
        <v>-1981</v>
      </c>
      <c r="Y69" s="2"/>
      <c r="Z69" s="6">
        <f t="shared" si="36"/>
        <v>-0.99050000000000005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5831.34</v>
      </c>
      <c r="E70" s="1"/>
      <c r="F70" s="5">
        <f t="shared" ref="F70:F74" si="37">IF(D$12=0,0,D70/D$12)</f>
        <v>0</v>
      </c>
      <c r="G70" s="1"/>
      <c r="H70" s="1">
        <f>SUM(OSRRefH22_12x_0)</f>
        <v>6879</v>
      </c>
      <c r="I70" s="1"/>
      <c r="J70" s="5">
        <f t="shared" ref="J70:J74" si="38">IF(H$12=0,0,H70/H$12)</f>
        <v>2.9966805196162995E-2</v>
      </c>
      <c r="K70" s="1"/>
      <c r="L70" s="1">
        <f t="shared" ref="L70:L74" si="39">+D70-H70</f>
        <v>-1047.6599999999999</v>
      </c>
      <c r="M70" s="1"/>
      <c r="N70" s="5">
        <f t="shared" ref="N70:N74" si="40">IF(H70=0,0,L70/H70)</f>
        <v>-0.15229829917139118</v>
      </c>
      <c r="O70" s="13"/>
      <c r="P70" s="1">
        <f>SUM(OSRRefP22_12x_0)</f>
        <v>57290.130000000005</v>
      </c>
      <c r="Q70" s="1"/>
      <c r="R70" s="5">
        <f t="shared" ref="R70:R74" si="41">IF(P$12=0,0,P70/P$12)</f>
        <v>2.4232435436715805</v>
      </c>
      <c r="S70" s="1"/>
      <c r="T70" s="1">
        <f>SUM(OSRRefT22_12x_0)</f>
        <v>67158</v>
      </c>
      <c r="U70" s="1"/>
      <c r="V70" s="5">
        <f t="shared" ref="V70:V74" si="42">IF(T$12=0,0,T70/T$12)</f>
        <v>4.2632908049581593E-2</v>
      </c>
      <c r="W70" s="1"/>
      <c r="X70" s="1">
        <f t="shared" ref="X70:X74" si="43">+P70-T70</f>
        <v>-9867.8699999999953</v>
      </c>
      <c r="Y70" s="1"/>
      <c r="Z70" s="5">
        <f t="shared" ref="Z70:Z74" si="44">IF(T70=0,0,X70/T70)</f>
        <v>-0.14693513803269895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834.64</v>
      </c>
      <c r="E71" s="2"/>
      <c r="F71" s="6">
        <f t="shared" si="37"/>
        <v>0</v>
      </c>
      <c r="G71" s="2"/>
      <c r="H71" s="7">
        <v>450</v>
      </c>
      <c r="I71" s="2"/>
      <c r="J71" s="6">
        <f t="shared" si="38"/>
        <v>1.9603230612404926E-3</v>
      </c>
      <c r="K71" s="2"/>
      <c r="L71" s="7">
        <f t="shared" si="39"/>
        <v>384.64</v>
      </c>
      <c r="M71" s="2"/>
      <c r="N71" s="6">
        <f t="shared" si="40"/>
        <v>0.85475555555555549</v>
      </c>
      <c r="O71" s="11"/>
      <c r="P71" s="7">
        <v>4261.58</v>
      </c>
      <c r="Q71" s="2"/>
      <c r="R71" s="6">
        <f t="shared" si="41"/>
        <v>0.18025524153706637</v>
      </c>
      <c r="S71" s="2"/>
      <c r="T71" s="7">
        <v>4500</v>
      </c>
      <c r="U71" s="2"/>
      <c r="V71" s="6">
        <f t="shared" si="42"/>
        <v>2.8566676527460194E-3</v>
      </c>
      <c r="W71" s="2"/>
      <c r="X71" s="7">
        <f t="shared" si="43"/>
        <v>-238.42000000000007</v>
      </c>
      <c r="Y71" s="2"/>
      <c r="Z71" s="6">
        <f t="shared" si="44"/>
        <v>-5.2982222222222236E-2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7"/>
        <v>0</v>
      </c>
      <c r="G72" s="2"/>
      <c r="H72" s="7">
        <v>500</v>
      </c>
      <c r="I72" s="2"/>
      <c r="J72" s="6">
        <f t="shared" si="38"/>
        <v>2.1781367347116581E-3</v>
      </c>
      <c r="K72" s="2"/>
      <c r="L72" s="7">
        <f t="shared" si="39"/>
        <v>-500</v>
      </c>
      <c r="M72" s="2"/>
      <c r="N72" s="6">
        <f t="shared" si="40"/>
        <v>-1</v>
      </c>
      <c r="O72" s="11"/>
      <c r="P72" s="7"/>
      <c r="Q72" s="2"/>
      <c r="R72" s="6">
        <f t="shared" si="41"/>
        <v>0</v>
      </c>
      <c r="S72" s="2"/>
      <c r="T72" s="7">
        <v>5000</v>
      </c>
      <c r="U72" s="2"/>
      <c r="V72" s="6">
        <f t="shared" si="42"/>
        <v>3.1740751697177994E-3</v>
      </c>
      <c r="W72" s="2"/>
      <c r="X72" s="7">
        <f t="shared" si="43"/>
        <v>-5000</v>
      </c>
      <c r="Y72" s="2"/>
      <c r="Z72" s="6">
        <f t="shared" si="44"/>
        <v>-1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4428.8599999999997</v>
      </c>
      <c r="E73" s="2"/>
      <c r="F73" s="6">
        <f t="shared" si="37"/>
        <v>0</v>
      </c>
      <c r="G73" s="2"/>
      <c r="H73" s="7">
        <v>4429</v>
      </c>
      <c r="I73" s="2"/>
      <c r="J73" s="6">
        <f t="shared" si="38"/>
        <v>1.9293935196075869E-2</v>
      </c>
      <c r="K73" s="2"/>
      <c r="L73" s="7">
        <f t="shared" si="39"/>
        <v>-0.14000000000032742</v>
      </c>
      <c r="M73" s="2"/>
      <c r="N73" s="6">
        <f t="shared" si="40"/>
        <v>-3.16098442086989E-5</v>
      </c>
      <c r="O73" s="11"/>
      <c r="P73" s="7">
        <v>46918.41</v>
      </c>
      <c r="Q73" s="2"/>
      <c r="R73" s="6">
        <f t="shared" si="41"/>
        <v>1.9845431335526051</v>
      </c>
      <c r="S73" s="2"/>
      <c r="T73" s="7">
        <v>42658</v>
      </c>
      <c r="U73" s="2"/>
      <c r="V73" s="6">
        <f t="shared" si="42"/>
        <v>2.7079939717964376E-2</v>
      </c>
      <c r="W73" s="2"/>
      <c r="X73" s="7">
        <f t="shared" si="43"/>
        <v>4260.4100000000035</v>
      </c>
      <c r="Y73" s="2"/>
      <c r="Z73" s="6">
        <f t="shared" si="44"/>
        <v>9.9873646209386366E-2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>
        <v>567.84</v>
      </c>
      <c r="E74" s="2"/>
      <c r="F74" s="6">
        <f t="shared" si="37"/>
        <v>0</v>
      </c>
      <c r="G74" s="2"/>
      <c r="H74" s="7">
        <v>1500</v>
      </c>
      <c r="I74" s="2"/>
      <c r="J74" s="6">
        <f t="shared" si="38"/>
        <v>6.5344102041349746E-3</v>
      </c>
      <c r="K74" s="2"/>
      <c r="L74" s="7">
        <f t="shared" si="39"/>
        <v>-932.16</v>
      </c>
      <c r="M74" s="2"/>
      <c r="N74" s="6">
        <f t="shared" si="40"/>
        <v>-0.62143999999999999</v>
      </c>
      <c r="O74" s="11"/>
      <c r="P74" s="7">
        <v>6110.14</v>
      </c>
      <c r="Q74" s="2"/>
      <c r="R74" s="6">
        <f t="shared" si="41"/>
        <v>0.2584451685819088</v>
      </c>
      <c r="S74" s="2"/>
      <c r="T74" s="7">
        <v>15000</v>
      </c>
      <c r="U74" s="2"/>
      <c r="V74" s="6">
        <f t="shared" si="42"/>
        <v>9.5222255091533987E-3</v>
      </c>
      <c r="W74" s="2"/>
      <c r="X74" s="7">
        <f t="shared" si="43"/>
        <v>-8889.86</v>
      </c>
      <c r="Y74" s="2"/>
      <c r="Z74" s="6">
        <f t="shared" si="44"/>
        <v>-0.59265733333333337</v>
      </c>
    </row>
    <row r="75" spans="1:26" s="25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0</v>
      </c>
      <c r="E75" s="1"/>
      <c r="F75" s="5">
        <f t="shared" ref="F75:F83" si="45">IF(D$12=0,0,D75/D$12)</f>
        <v>0</v>
      </c>
      <c r="G75" s="1"/>
      <c r="H75" s="1">
        <f>SUM(OSRRefH22_13x_0)</f>
        <v>11750</v>
      </c>
      <c r="I75" s="1"/>
      <c r="J75" s="5">
        <f t="shared" ref="J75:J83" si="46">IF(H$12=0,0,H75/H$12)</f>
        <v>5.1186213265723972E-2</v>
      </c>
      <c r="K75" s="1"/>
      <c r="L75" s="1">
        <f t="shared" ref="L75:L83" si="47">+D75-H75</f>
        <v>-11750</v>
      </c>
      <c r="M75" s="1"/>
      <c r="N75" s="5">
        <f t="shared" ref="N75:N83" si="48">IF(H75=0,0,L75/H75)</f>
        <v>-1</v>
      </c>
      <c r="O75" s="13"/>
      <c r="P75" s="1">
        <f>SUM(OSRRefP22_13x_0)</f>
        <v>10125.33</v>
      </c>
      <c r="Q75" s="1"/>
      <c r="R75" s="5">
        <f t="shared" ref="R75:R83" si="49">IF(P$12=0,0,P75/P$12)</f>
        <v>0.42827866772241852</v>
      </c>
      <c r="S75" s="1"/>
      <c r="T75" s="1">
        <f>SUM(OSRRefT22_13x_0)</f>
        <v>123500</v>
      </c>
      <c r="U75" s="1"/>
      <c r="V75" s="5">
        <f t="shared" ref="V75:V83" si="50">IF(T$12=0,0,T75/T$12)</f>
        <v>7.839965669202964E-2</v>
      </c>
      <c r="W75" s="1"/>
      <c r="X75" s="1">
        <f t="shared" ref="X75:X83" si="51">+P75-T75</f>
        <v>-113374.67</v>
      </c>
      <c r="Y75" s="1"/>
      <c r="Z75" s="5">
        <f t="shared" ref="Z75:Z83" si="52">IF(T75=0,0,X75/T75)</f>
        <v>-0.91801352226720645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5"/>
        <v>0</v>
      </c>
      <c r="G76" s="2"/>
      <c r="H76" s="7">
        <v>5000</v>
      </c>
      <c r="I76" s="2"/>
      <c r="J76" s="6">
        <f t="shared" si="46"/>
        <v>2.1781367347116581E-2</v>
      </c>
      <c r="K76" s="2"/>
      <c r="L76" s="7">
        <f t="shared" si="47"/>
        <v>-5000</v>
      </c>
      <c r="M76" s="2"/>
      <c r="N76" s="6">
        <f t="shared" si="48"/>
        <v>-1</v>
      </c>
      <c r="O76" s="11"/>
      <c r="P76" s="7">
        <v>1375.08</v>
      </c>
      <c r="Q76" s="2"/>
      <c r="R76" s="6">
        <f t="shared" si="49"/>
        <v>5.8162788809030738E-2</v>
      </c>
      <c r="S76" s="2"/>
      <c r="T76" s="7">
        <v>50000</v>
      </c>
      <c r="U76" s="2"/>
      <c r="V76" s="6">
        <f t="shared" si="50"/>
        <v>3.1740751697177993E-2</v>
      </c>
      <c r="W76" s="2"/>
      <c r="X76" s="7">
        <f t="shared" si="51"/>
        <v>-48624.92</v>
      </c>
      <c r="Y76" s="2"/>
      <c r="Z76" s="6">
        <f t="shared" si="52"/>
        <v>-0.97249839999999999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45"/>
        <v>0</v>
      </c>
      <c r="G77" s="2"/>
      <c r="H77" s="7">
        <v>4000</v>
      </c>
      <c r="I77" s="2"/>
      <c r="J77" s="6">
        <f t="shared" si="46"/>
        <v>1.7425093877693264E-2</v>
      </c>
      <c r="K77" s="2"/>
      <c r="L77" s="7">
        <f t="shared" si="47"/>
        <v>-4000</v>
      </c>
      <c r="M77" s="2"/>
      <c r="N77" s="6">
        <f t="shared" si="48"/>
        <v>-1</v>
      </c>
      <c r="O77" s="11"/>
      <c r="P77" s="7">
        <v>4689.93</v>
      </c>
      <c r="Q77" s="2"/>
      <c r="R77" s="6">
        <f t="shared" si="49"/>
        <v>0.19837348235676294</v>
      </c>
      <c r="S77" s="2"/>
      <c r="T77" s="7">
        <v>40000</v>
      </c>
      <c r="U77" s="2"/>
      <c r="V77" s="6">
        <f t="shared" si="50"/>
        <v>2.5392601357742395E-2</v>
      </c>
      <c r="W77" s="2"/>
      <c r="X77" s="7">
        <f t="shared" si="51"/>
        <v>-35310.07</v>
      </c>
      <c r="Y77" s="2"/>
      <c r="Z77" s="6">
        <f t="shared" si="52"/>
        <v>-0.88275174999999995</v>
      </c>
    </row>
    <row r="78" spans="1:26" s="24" customFormat="1" hidden="1" outlineLevel="2" x14ac:dyDescent="0.25">
      <c r="A78" s="26"/>
      <c r="B78" s="11" t="str">
        <f>CONCATENATE("          ", "6239", " - ", "KITCHEN SUPPLIES")</f>
        <v xml:space="preserve">          6239 - KITCHEN SUPPLIES</v>
      </c>
      <c r="C78" s="11"/>
      <c r="D78" s="7"/>
      <c r="E78" s="2"/>
      <c r="F78" s="6">
        <f t="shared" si="45"/>
        <v>0</v>
      </c>
      <c r="G78" s="2"/>
      <c r="H78" s="7">
        <v>1500</v>
      </c>
      <c r="I78" s="2"/>
      <c r="J78" s="6">
        <f t="shared" si="46"/>
        <v>6.5344102041349746E-3</v>
      </c>
      <c r="K78" s="2"/>
      <c r="L78" s="7">
        <f t="shared" si="47"/>
        <v>-1500</v>
      </c>
      <c r="M78" s="2"/>
      <c r="N78" s="6">
        <f t="shared" si="48"/>
        <v>-1</v>
      </c>
      <c r="O78" s="11"/>
      <c r="P78" s="7">
        <v>1031.07</v>
      </c>
      <c r="Q78" s="2"/>
      <c r="R78" s="6">
        <f t="shared" si="49"/>
        <v>4.3611940146993135E-2</v>
      </c>
      <c r="S78" s="2"/>
      <c r="T78" s="7">
        <v>15000</v>
      </c>
      <c r="U78" s="2"/>
      <c r="V78" s="6">
        <f t="shared" si="50"/>
        <v>9.5222255091533987E-3</v>
      </c>
      <c r="W78" s="2"/>
      <c r="X78" s="7">
        <f t="shared" si="51"/>
        <v>-13968.93</v>
      </c>
      <c r="Y78" s="2"/>
      <c r="Z78" s="6">
        <f t="shared" si="52"/>
        <v>-0.93126200000000003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2.1781367347116581E-3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19.7</v>
      </c>
      <c r="Q79" s="2"/>
      <c r="R79" s="6">
        <f t="shared" si="49"/>
        <v>8.3326565693480064E-4</v>
      </c>
      <c r="S79" s="2"/>
      <c r="T79" s="7">
        <v>5000</v>
      </c>
      <c r="U79" s="2"/>
      <c r="V79" s="6">
        <f t="shared" si="50"/>
        <v>3.1740751697177994E-3</v>
      </c>
      <c r="W79" s="2"/>
      <c r="X79" s="7">
        <f t="shared" si="51"/>
        <v>-4980.3</v>
      </c>
      <c r="Y79" s="2"/>
      <c r="Z79" s="6">
        <f t="shared" si="52"/>
        <v>-0.99606000000000006</v>
      </c>
    </row>
    <row r="80" spans="1:26" s="24" customFormat="1" hidden="1" outlineLevel="2" x14ac:dyDescent="0.25">
      <c r="A80" s="26"/>
      <c r="B80" s="11" t="str">
        <f>CONCATENATE("          ", "6243", " - ", "PAPER SUPPLIES")</f>
        <v xml:space="preserve">          6243 - PAPER SUPPLIES</v>
      </c>
      <c r="C80" s="11"/>
      <c r="D80" s="7"/>
      <c r="E80" s="2"/>
      <c r="F80" s="6">
        <f t="shared" si="45"/>
        <v>0</v>
      </c>
      <c r="G80" s="2"/>
      <c r="H80" s="7">
        <v>500</v>
      </c>
      <c r="I80" s="2"/>
      <c r="J80" s="6">
        <f t="shared" si="46"/>
        <v>2.1781367347116581E-3</v>
      </c>
      <c r="K80" s="2"/>
      <c r="L80" s="7">
        <f t="shared" si="47"/>
        <v>-500</v>
      </c>
      <c r="M80" s="2"/>
      <c r="N80" s="6">
        <f t="shared" si="48"/>
        <v>-1</v>
      </c>
      <c r="O80" s="11"/>
      <c r="P80" s="7">
        <v>3009.55</v>
      </c>
      <c r="Q80" s="2"/>
      <c r="R80" s="6">
        <f t="shared" si="49"/>
        <v>0.12729719075269691</v>
      </c>
      <c r="S80" s="2"/>
      <c r="T80" s="7">
        <v>5000</v>
      </c>
      <c r="U80" s="2"/>
      <c r="V80" s="6">
        <f t="shared" si="50"/>
        <v>3.1740751697177994E-3</v>
      </c>
      <c r="W80" s="2"/>
      <c r="X80" s="7">
        <f t="shared" si="51"/>
        <v>-1990.4499999999998</v>
      </c>
      <c r="Y80" s="2"/>
      <c r="Z80" s="6">
        <f t="shared" si="52"/>
        <v>-0.39808999999999994</v>
      </c>
    </row>
    <row r="81" spans="1:26" s="24" customFormat="1" hidden="1" outlineLevel="2" x14ac:dyDescent="0.25">
      <c r="A81" s="26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5"/>
        <v>0</v>
      </c>
      <c r="G81" s="2"/>
      <c r="H81" s="7">
        <v>100</v>
      </c>
      <c r="I81" s="2"/>
      <c r="J81" s="6">
        <f t="shared" si="46"/>
        <v>4.3562734694233164E-4</v>
      </c>
      <c r="K81" s="2"/>
      <c r="L81" s="7">
        <f t="shared" si="47"/>
        <v>-100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1000</v>
      </c>
      <c r="U81" s="2"/>
      <c r="V81" s="6">
        <f t="shared" si="50"/>
        <v>6.3481503394355982E-4</v>
      </c>
      <c r="W81" s="2"/>
      <c r="X81" s="7">
        <f t="shared" si="51"/>
        <v>-1000</v>
      </c>
      <c r="Y81" s="2"/>
      <c r="Z81" s="6">
        <f t="shared" si="52"/>
        <v>-1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5"/>
        <v>0</v>
      </c>
      <c r="G82" s="2"/>
      <c r="H82" s="7">
        <v>150</v>
      </c>
      <c r="I82" s="2"/>
      <c r="J82" s="6">
        <f t="shared" si="46"/>
        <v>6.5344102041349744E-4</v>
      </c>
      <c r="K82" s="2"/>
      <c r="L82" s="7">
        <f t="shared" si="47"/>
        <v>-150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1500</v>
      </c>
      <c r="U82" s="2"/>
      <c r="V82" s="6">
        <f t="shared" si="50"/>
        <v>9.5222255091533979E-4</v>
      </c>
      <c r="W82" s="2"/>
      <c r="X82" s="7">
        <f t="shared" si="51"/>
        <v>-1500</v>
      </c>
      <c r="Y82" s="2"/>
      <c r="Z82" s="6">
        <f t="shared" si="52"/>
        <v>-1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/>
      <c r="I83" s="2"/>
      <c r="J83" s="6">
        <f t="shared" si="46"/>
        <v>0</v>
      </c>
      <c r="K83" s="2"/>
      <c r="L83" s="7">
        <f t="shared" si="47"/>
        <v>0</v>
      </c>
      <c r="M83" s="2"/>
      <c r="N83" s="6">
        <f t="shared" si="48"/>
        <v>0</v>
      </c>
      <c r="O83" s="11"/>
      <c r="P83" s="7"/>
      <c r="Q83" s="2"/>
      <c r="R83" s="6">
        <f t="shared" si="49"/>
        <v>0</v>
      </c>
      <c r="S83" s="2"/>
      <c r="T83" s="7">
        <v>6000</v>
      </c>
      <c r="U83" s="2"/>
      <c r="V83" s="6">
        <f t="shared" si="50"/>
        <v>3.8088902036613592E-3</v>
      </c>
      <c r="W83" s="2"/>
      <c r="X83" s="7">
        <f t="shared" si="51"/>
        <v>-6000</v>
      </c>
      <c r="Y83" s="2"/>
      <c r="Z83" s="6">
        <f t="shared" si="52"/>
        <v>-1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89</v>
      </c>
      <c r="E84" s="1"/>
      <c r="F84" s="5">
        <f t="shared" ref="F84:F87" si="53">IF(D$12=0,0,D84/D$12)</f>
        <v>0</v>
      </c>
      <c r="G84" s="1"/>
      <c r="H84" s="1">
        <f>SUM(OSRRefH22_14x_0)</f>
        <v>175</v>
      </c>
      <c r="I84" s="1"/>
      <c r="J84" s="5">
        <f t="shared" ref="J84:J87" si="54">IF(H$12=0,0,H84/H$12)</f>
        <v>7.6234785714908036E-4</v>
      </c>
      <c r="K84" s="1"/>
      <c r="L84" s="1">
        <f t="shared" ref="L84:L87" si="55">+D84-H84</f>
        <v>-86</v>
      </c>
      <c r="M84" s="1"/>
      <c r="N84" s="5">
        <f t="shared" ref="N84:N87" si="56">IF(H84=0,0,L84/H84)</f>
        <v>-0.49142857142857144</v>
      </c>
      <c r="O84" s="13"/>
      <c r="P84" s="1">
        <f>SUM(OSRRefP22_14x_0)</f>
        <v>1276</v>
      </c>
      <c r="Q84" s="1"/>
      <c r="R84" s="5">
        <f t="shared" ref="R84:R87" si="57">IF(P$12=0,0,P84/P$12)</f>
        <v>5.3971927829888612E-2</v>
      </c>
      <c r="S84" s="1"/>
      <c r="T84" s="1">
        <f>SUM(OSRRefT22_14x_0)</f>
        <v>1750</v>
      </c>
      <c r="U84" s="1"/>
      <c r="V84" s="5">
        <f t="shared" ref="V84:V87" si="58">IF(T$12=0,0,T84/T$12)</f>
        <v>1.1109263094012298E-3</v>
      </c>
      <c r="W84" s="1"/>
      <c r="X84" s="1">
        <f t="shared" ref="X84:X87" si="59">+P84-T84</f>
        <v>-474</v>
      </c>
      <c r="Y84" s="1"/>
      <c r="Z84" s="5">
        <f t="shared" ref="Z84:Z87" si="60">IF(T84=0,0,X84/T84)</f>
        <v>-0.27085714285714285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89</v>
      </c>
      <c r="E85" s="2"/>
      <c r="F85" s="6">
        <f t="shared" si="53"/>
        <v>0</v>
      </c>
      <c r="G85" s="2"/>
      <c r="H85" s="7">
        <v>175</v>
      </c>
      <c r="I85" s="2"/>
      <c r="J85" s="6">
        <f t="shared" si="54"/>
        <v>7.6234785714908036E-4</v>
      </c>
      <c r="K85" s="2"/>
      <c r="L85" s="7">
        <f t="shared" si="55"/>
        <v>-86</v>
      </c>
      <c r="M85" s="2"/>
      <c r="N85" s="6">
        <f t="shared" si="56"/>
        <v>-0.49142857142857144</v>
      </c>
      <c r="O85" s="11"/>
      <c r="P85" s="7">
        <v>1276</v>
      </c>
      <c r="Q85" s="2"/>
      <c r="R85" s="6">
        <f t="shared" si="57"/>
        <v>5.3971927829888612E-2</v>
      </c>
      <c r="S85" s="2"/>
      <c r="T85" s="7">
        <v>1750</v>
      </c>
      <c r="U85" s="2"/>
      <c r="V85" s="6">
        <f t="shared" si="58"/>
        <v>1.1109263094012298E-3</v>
      </c>
      <c r="W85" s="2"/>
      <c r="X85" s="7">
        <f t="shared" si="59"/>
        <v>-474</v>
      </c>
      <c r="Y85" s="2"/>
      <c r="Z85" s="6">
        <f t="shared" si="60"/>
        <v>-0.27085714285714285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0</v>
      </c>
      <c r="I86" s="1"/>
      <c r="J86" s="5">
        <f t="shared" si="54"/>
        <v>0</v>
      </c>
      <c r="K86" s="1"/>
      <c r="L86" s="1">
        <f t="shared" si="55"/>
        <v>0</v>
      </c>
      <c r="M86" s="1"/>
      <c r="N86" s="5">
        <f t="shared" si="56"/>
        <v>0</v>
      </c>
      <c r="O86" s="13"/>
      <c r="P86" s="1">
        <f>SUM(OSRRefP22_15x_0)</f>
        <v>0</v>
      </c>
      <c r="Q86" s="1"/>
      <c r="R86" s="5">
        <f t="shared" si="57"/>
        <v>0</v>
      </c>
      <c r="S86" s="1"/>
      <c r="T86" s="1">
        <f>SUM(OSRRefT22_15x_0)</f>
        <v>1500</v>
      </c>
      <c r="U86" s="1"/>
      <c r="V86" s="5">
        <f t="shared" si="58"/>
        <v>9.5222255091533979E-4</v>
      </c>
      <c r="W86" s="1"/>
      <c r="X86" s="1">
        <f t="shared" si="59"/>
        <v>-1500</v>
      </c>
      <c r="Y86" s="1"/>
      <c r="Z86" s="5">
        <f t="shared" si="60"/>
        <v>-1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/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/>
      <c r="Q87" s="2"/>
      <c r="R87" s="6">
        <f t="shared" si="57"/>
        <v>0</v>
      </c>
      <c r="S87" s="2"/>
      <c r="T87" s="7">
        <v>1500</v>
      </c>
      <c r="U87" s="2"/>
      <c r="V87" s="6">
        <f t="shared" si="58"/>
        <v>9.5222255091533979E-4</v>
      </c>
      <c r="W87" s="2"/>
      <c r="X87" s="7">
        <f t="shared" si="59"/>
        <v>-1500</v>
      </c>
      <c r="Y87" s="2"/>
      <c r="Z87" s="6">
        <f t="shared" si="60"/>
        <v>-1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277</v>
      </c>
      <c r="C91" s="28"/>
      <c r="D91" s="21">
        <f>+D23-D25+D89</f>
        <v>-52820.52</v>
      </c>
      <c r="E91" s="14"/>
      <c r="F91" s="20">
        <f>IF(D$12=0,0,D91/D$12)</f>
        <v>0</v>
      </c>
      <c r="G91" s="14"/>
      <c r="H91" s="21">
        <f>+H23-H25+H89</f>
        <v>24348.456606538501</v>
      </c>
      <c r="I91" s="14"/>
      <c r="J91" s="20">
        <f>IF(H$12=0,0,H91/H$12)</f>
        <v>0.10606853553646854</v>
      </c>
      <c r="K91" s="16"/>
      <c r="L91" s="21">
        <f>+D91-H91</f>
        <v>-77168.97660653849</v>
      </c>
      <c r="M91" s="16"/>
      <c r="N91" s="20">
        <f>IF(H91=0,0,L91/H91)</f>
        <v>-3.169358035852492</v>
      </c>
      <c r="O91" s="29"/>
      <c r="P91" s="21">
        <f>+P23-P25+P89</f>
        <v>-516862.00999999995</v>
      </c>
      <c r="Q91" s="14"/>
      <c r="R91" s="20">
        <f>IF(P$12=0,0,P91/P$12)</f>
        <v>-21.86209960950718</v>
      </c>
      <c r="S91" s="14"/>
      <c r="T91" s="21">
        <f>+T23-T25+T89</f>
        <v>-141497.70933846175</v>
      </c>
      <c r="U91" s="14"/>
      <c r="V91" s="20">
        <f>IF(T$12=0,0,T91/T$12)</f>
        <v>-8.9824873156631568E-2</v>
      </c>
      <c r="W91" s="16"/>
      <c r="X91" s="21">
        <f>+P91-T91</f>
        <v>-375364.3006615382</v>
      </c>
      <c r="Y91" s="16"/>
      <c r="Z91" s="20">
        <f>IF(T91=0,0,X91/T91)</f>
        <v>2.6527941859727839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>
        <v>73.59</v>
      </c>
      <c r="E93" s="4"/>
      <c r="F93" s="12">
        <f>IF(D$12=0,0,D93/D$12)</f>
        <v>0</v>
      </c>
      <c r="G93" s="4"/>
      <c r="H93" s="4">
        <v>47379</v>
      </c>
      <c r="I93" s="4"/>
      <c r="J93" s="12">
        <f>IF(H$12=0,0,H93/H$12)</f>
        <v>0.20639588070780732</v>
      </c>
      <c r="K93" s="4"/>
      <c r="L93" s="4">
        <f>+D93-H93</f>
        <v>-47305.41</v>
      </c>
      <c r="M93" s="4"/>
      <c r="N93" s="12">
        <f>IF(H93=0,0,L93/H93)</f>
        <v>-0.99844678021908451</v>
      </c>
      <c r="O93" s="10"/>
      <c r="P93" s="4">
        <v>4945.99</v>
      </c>
      <c r="Q93" s="4"/>
      <c r="R93" s="12">
        <f>IF(P$12=0,0,P93/P$12)</f>
        <v>0.209204243986952</v>
      </c>
      <c r="S93" s="4"/>
      <c r="T93" s="4">
        <v>285353</v>
      </c>
      <c r="U93" s="4"/>
      <c r="V93" s="12">
        <f>IF(T$12=0,0,T93/T$12)</f>
        <v>0.18114637438089665</v>
      </c>
      <c r="W93" s="4"/>
      <c r="X93" s="4">
        <f>+P93-T93</f>
        <v>-280407.01</v>
      </c>
      <c r="Y93" s="4"/>
      <c r="Z93" s="12">
        <f>IF(T93=0,0,X93/T93)</f>
        <v>-0.98266711757016756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126</v>
      </c>
      <c r="C95" s="28"/>
      <c r="D95" s="31">
        <f>+D91-D93</f>
        <v>-52894.109999999993</v>
      </c>
      <c r="E95" s="14"/>
      <c r="F95" s="33">
        <f>IF(D$12=0,0,D95/D$12)</f>
        <v>0</v>
      </c>
      <c r="G95" s="14"/>
      <c r="H95" s="31">
        <f>+H91-H93</f>
        <v>-23030.543393461499</v>
      </c>
      <c r="I95" s="14"/>
      <c r="J95" s="33">
        <f>IF(H$12=0,0,H95/H$12)</f>
        <v>-0.10032734517133876</v>
      </c>
      <c r="K95" s="16"/>
      <c r="L95" s="31">
        <f>D95-H95</f>
        <v>-29863.566606538494</v>
      </c>
      <c r="M95" s="16"/>
      <c r="N95" s="33">
        <f>IF(H95=0,0,L95/H95)</f>
        <v>1.2966939640259174</v>
      </c>
      <c r="O95" s="29"/>
      <c r="P95" s="31">
        <f>+P91-P93</f>
        <v>-521807.99999999994</v>
      </c>
      <c r="Q95" s="14"/>
      <c r="R95" s="33">
        <f>IF(P$12=0,0,P95/P$12)</f>
        <v>-22.071303853494133</v>
      </c>
      <c r="S95" s="14"/>
      <c r="T95" s="31">
        <f>+T91-T93</f>
        <v>-426850.70933846175</v>
      </c>
      <c r="U95" s="14"/>
      <c r="V95" s="33">
        <f>IF(T$12=0,0,T95/T$12)</f>
        <v>-0.27097124753752821</v>
      </c>
      <c r="W95" s="16"/>
      <c r="X95" s="31">
        <f>P95-T95</f>
        <v>-94957.290661538194</v>
      </c>
      <c r="Y95" s="16"/>
      <c r="Z95" s="33">
        <f>IF(T95=0,0,X95/T95)</f>
        <v>0.22246019178158125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294</v>
      </c>
      <c r="C98" s="28"/>
      <c r="D98" s="34">
        <f>SUM(D95:D97)</f>
        <v>-52894.109999999993</v>
      </c>
      <c r="E98" s="14"/>
      <c r="F98" s="35">
        <f>IF(D$12=0,0,D98/D$12)</f>
        <v>0</v>
      </c>
      <c r="G98" s="14"/>
      <c r="H98" s="34">
        <f>SUM(H95:H97)</f>
        <v>-23030.543393461499</v>
      </c>
      <c r="I98" s="14"/>
      <c r="J98" s="35">
        <f>IF(H$12=0,0,H98/H$12)</f>
        <v>-0.10032734517133876</v>
      </c>
      <c r="K98" s="16"/>
      <c r="L98" s="34">
        <f>+D98-H98</f>
        <v>-29863.566606538494</v>
      </c>
      <c r="M98" s="16"/>
      <c r="N98" s="35">
        <f>IF(H98=0,0,L98/H98)</f>
        <v>1.2966939640259174</v>
      </c>
      <c r="O98" s="29"/>
      <c r="P98" s="34">
        <f>SUM(P95:P97)</f>
        <v>-521807.99999999994</v>
      </c>
      <c r="Q98" s="14"/>
      <c r="R98" s="35">
        <f>IF(P$12=0,0,P98/P$12)</f>
        <v>-22.071303853494133</v>
      </c>
      <c r="S98" s="14"/>
      <c r="T98" s="34">
        <f>SUM(T95:T97)</f>
        <v>-426850.70933846175</v>
      </c>
      <c r="U98" s="14"/>
      <c r="V98" s="35">
        <f>IF(T$12=0,0,T98/T$12)</f>
        <v>-0.27097124753752821</v>
      </c>
      <c r="W98" s="16"/>
      <c r="X98" s="34">
        <f>+P98-T98</f>
        <v>-94957.290661538194</v>
      </c>
      <c r="Y98" s="16"/>
      <c r="Z98" s="35">
        <f>IF(T98=0,0,X98/T98)</f>
        <v>0.22246019178158125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62">
        <v>44330.0058283912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 t="s">
        <v>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5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0</v>
      </c>
      <c r="E18" s="22"/>
      <c r="F18" s="32">
        <f t="shared" ref="F18:F20" si="0">IF(D$12=0,0,D18/D$12)</f>
        <v>0</v>
      </c>
      <c r="G18" s="22"/>
      <c r="H18" s="22">
        <f>SUM(OSRRefH22x_0)</f>
        <v>0</v>
      </c>
      <c r="I18" s="22"/>
      <c r="J18" s="32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2">
        <f t="shared" ref="N18:N20" si="3">IF(H18=0,0,L18/H18)</f>
        <v>0</v>
      </c>
      <c r="O18" s="10"/>
      <c r="P18" s="22">
        <f>SUM(OSRRefP22x_0)</f>
        <v>178.69</v>
      </c>
      <c r="Q18" s="22"/>
      <c r="R18" s="32">
        <f t="shared" ref="R18:R20" si="4">IF(P$12=0,0,P18/P$12)</f>
        <v>0</v>
      </c>
      <c r="S18" s="22"/>
      <c r="T18" s="22">
        <f>SUM(OSRRefT22x_0)</f>
        <v>0</v>
      </c>
      <c r="U18" s="22"/>
      <c r="V18" s="32">
        <f t="shared" ref="V18:V20" si="5">IF(T$12=0,0,T18/T$12)</f>
        <v>0</v>
      </c>
      <c r="W18" s="4"/>
      <c r="X18" s="22">
        <f t="shared" ref="X18:X20" si="6">+P18-T18</f>
        <v>178.69</v>
      </c>
      <c r="Y18" s="4"/>
      <c r="Z18" s="32">
        <f t="shared" ref="Z18:Z20" si="7">IF(T18=0,0,X18/T18)</f>
        <v>0</v>
      </c>
    </row>
    <row r="19" spans="1:26" s="25" customFormat="1" outlineLevel="1" collapsed="1" x14ac:dyDescent="0.25">
      <c r="A19" s="27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6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61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277</v>
      </c>
      <c r="C24" s="28"/>
      <c r="D24" s="21">
        <f>+D16-D18+D22</f>
        <v>0</v>
      </c>
      <c r="E24" s="14"/>
      <c r="F24" s="20">
        <f>IF(D$12=0,0,D24/D$12)</f>
        <v>0</v>
      </c>
      <c r="G24" s="14"/>
      <c r="H24" s="21">
        <f>+H16-H18+H22</f>
        <v>0</v>
      </c>
      <c r="I24" s="14"/>
      <c r="J24" s="20">
        <f>IF(H$12=0,0,H24/H$12)</f>
        <v>0</v>
      </c>
      <c r="K24" s="16"/>
      <c r="L24" s="21">
        <f>+D24-H24</f>
        <v>0</v>
      </c>
      <c r="M24" s="16"/>
      <c r="N24" s="20">
        <f>IF(H24=0,0,L24/H24)</f>
        <v>0</v>
      </c>
      <c r="O24" s="29"/>
      <c r="P24" s="21">
        <f>+P16-P18+P22</f>
        <v>-178.69</v>
      </c>
      <c r="Q24" s="14"/>
      <c r="R24" s="20">
        <f>IF(P$12=0,0,P24/P$12)</f>
        <v>0</v>
      </c>
      <c r="S24" s="14"/>
      <c r="T24" s="21">
        <f>+T16-T18+T22</f>
        <v>0</v>
      </c>
      <c r="U24" s="14"/>
      <c r="V24" s="20">
        <f>IF(T$12=0,0,T24/T$12)</f>
        <v>0</v>
      </c>
      <c r="W24" s="16"/>
      <c r="X24" s="21">
        <f>+P24-T24</f>
        <v>-178.69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126</v>
      </c>
      <c r="C28" s="28"/>
      <c r="D28" s="31">
        <f>+D24-D26</f>
        <v>0</v>
      </c>
      <c r="E28" s="14"/>
      <c r="F28" s="33">
        <f>IF(D$12=0,0,D28/D$12)</f>
        <v>0</v>
      </c>
      <c r="G28" s="14"/>
      <c r="H28" s="31">
        <f>+H24-H26</f>
        <v>0</v>
      </c>
      <c r="I28" s="14"/>
      <c r="J28" s="33">
        <f>IF(H$12=0,0,H28/H$12)</f>
        <v>0</v>
      </c>
      <c r="K28" s="16"/>
      <c r="L28" s="31">
        <f>D28-H28</f>
        <v>0</v>
      </c>
      <c r="M28" s="16"/>
      <c r="N28" s="33">
        <f>IF(H28=0,0,L28/H28)</f>
        <v>0</v>
      </c>
      <c r="O28" s="29"/>
      <c r="P28" s="31">
        <f>+P24-P26</f>
        <v>-178.69</v>
      </c>
      <c r="Q28" s="14"/>
      <c r="R28" s="33">
        <f>IF(P$12=0,0,P28/P$12)</f>
        <v>0</v>
      </c>
      <c r="S28" s="14"/>
      <c r="T28" s="31">
        <f>+T24-T26</f>
        <v>0</v>
      </c>
      <c r="U28" s="14"/>
      <c r="V28" s="33">
        <f>IF(T$12=0,0,T28/T$12)</f>
        <v>0</v>
      </c>
      <c r="W28" s="16"/>
      <c r="X28" s="31">
        <f>P28-T28</f>
        <v>-178.69</v>
      </c>
      <c r="Y28" s="16"/>
      <c r="Z28" s="33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4">
        <f>SUM(D28:D30)</f>
        <v>0</v>
      </c>
      <c r="E31" s="14"/>
      <c r="F31" s="35">
        <f>IF(D$12=0,0,D31/D$12)</f>
        <v>0</v>
      </c>
      <c r="G31" s="14"/>
      <c r="H31" s="34">
        <f>SUM(H28:H30)</f>
        <v>0</v>
      </c>
      <c r="I31" s="14"/>
      <c r="J31" s="35">
        <f>IF(H$12=0,0,H31/H$12)</f>
        <v>0</v>
      </c>
      <c r="K31" s="16"/>
      <c r="L31" s="34">
        <f>+D31-H31</f>
        <v>0</v>
      </c>
      <c r="M31" s="16"/>
      <c r="N31" s="35">
        <f>IF(H31=0,0,L31/H31)</f>
        <v>0</v>
      </c>
      <c r="O31" s="29"/>
      <c r="P31" s="34">
        <f>SUM(P28:P30)</f>
        <v>-178.69</v>
      </c>
      <c r="Q31" s="14"/>
      <c r="R31" s="35">
        <f>IF(P$12=0,0,P31/P$12)</f>
        <v>0</v>
      </c>
      <c r="S31" s="14"/>
      <c r="T31" s="34">
        <f>SUM(T28:T30)</f>
        <v>0</v>
      </c>
      <c r="U31" s="14"/>
      <c r="V31" s="35">
        <f>IF(T$12=0,0,T31/T$12)</f>
        <v>0</v>
      </c>
      <c r="W31" s="16"/>
      <c r="X31" s="34">
        <f>+P31-T31</f>
        <v>-178.69</v>
      </c>
      <c r="Y31" s="16"/>
      <c r="Z31" s="35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2">
        <v>44330.0058283912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90165.79</v>
      </c>
      <c r="E12" s="4"/>
      <c r="F12" s="12"/>
      <c r="G12" s="4"/>
      <c r="H12" s="4">
        <f>SUM(OSRRefH13x_0)</f>
        <v>207341</v>
      </c>
      <c r="I12" s="4"/>
      <c r="J12" s="12"/>
      <c r="K12" s="4"/>
      <c r="L12" s="4">
        <f t="shared" ref="L12:L16" si="0">+D12-H12</f>
        <v>-117175.21</v>
      </c>
      <c r="M12" s="4"/>
      <c r="N12" s="12">
        <f t="shared" ref="N12:N16" si="1">IF(H12=0,0,L12/H12)</f>
        <v>-0.56513284878533432</v>
      </c>
      <c r="O12" s="10"/>
      <c r="P12" s="4">
        <f>SUM(OSRRefP13x_0)</f>
        <v>917713.98</v>
      </c>
      <c r="Q12" s="4"/>
      <c r="R12" s="12"/>
      <c r="S12" s="4"/>
      <c r="T12" s="4">
        <f>SUM(OSRRefT13x_0)</f>
        <v>1552330</v>
      </c>
      <c r="U12" s="4"/>
      <c r="V12" s="12"/>
      <c r="W12" s="4"/>
      <c r="X12" s="4">
        <f t="shared" ref="X12:X16" si="2">+P12-T12</f>
        <v>-634616.02</v>
      </c>
      <c r="Y12" s="4"/>
      <c r="Z12" s="12">
        <f t="shared" ref="Z12:Z16" si="3">IF(T12=0,0,X12/T12)</f>
        <v>-0.40881514884077486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--161.18</f>
        <v>161.18</v>
      </c>
      <c r="E13" s="2"/>
      <c r="F13" s="19"/>
      <c r="G13" s="2"/>
      <c r="H13" s="2"/>
      <c r="I13" s="2"/>
      <c r="J13" s="19"/>
      <c r="K13" s="2"/>
      <c r="L13" s="2">
        <f t="shared" si="0"/>
        <v>161.18</v>
      </c>
      <c r="M13" s="2"/>
      <c r="N13" s="19">
        <f t="shared" si="1"/>
        <v>0</v>
      </c>
      <c r="O13" s="11"/>
      <c r="P13" s="2">
        <f>--867.25</f>
        <v>867.25</v>
      </c>
      <c r="Q13" s="2"/>
      <c r="R13" s="19"/>
      <c r="S13" s="2"/>
      <c r="T13" s="2"/>
      <c r="U13" s="2"/>
      <c r="V13" s="19"/>
      <c r="W13" s="2"/>
      <c r="X13" s="2">
        <f t="shared" si="2"/>
        <v>867.25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207341</v>
      </c>
      <c r="I14" s="2"/>
      <c r="J14" s="19"/>
      <c r="K14" s="2"/>
      <c r="L14" s="2">
        <f t="shared" si="0"/>
        <v>-207341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1552330</v>
      </c>
      <c r="U14" s="2"/>
      <c r="V14" s="19"/>
      <c r="W14" s="2"/>
      <c r="X14" s="2">
        <f t="shared" si="2"/>
        <v>-1552330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--85567.69</f>
        <v>85567.69</v>
      </c>
      <c r="E15" s="2"/>
      <c r="F15" s="19"/>
      <c r="G15" s="2"/>
      <c r="H15" s="2"/>
      <c r="I15" s="2"/>
      <c r="J15" s="19"/>
      <c r="K15" s="2"/>
      <c r="L15" s="2">
        <f t="shared" si="0"/>
        <v>85567.69</v>
      </c>
      <c r="M15" s="2"/>
      <c r="N15" s="19">
        <f t="shared" si="1"/>
        <v>0</v>
      </c>
      <c r="O15" s="11"/>
      <c r="P15" s="2">
        <f>--876732.72</f>
        <v>876732.72</v>
      </c>
      <c r="Q15" s="2"/>
      <c r="R15" s="19"/>
      <c r="S15" s="2"/>
      <c r="T15" s="2"/>
      <c r="U15" s="2"/>
      <c r="V15" s="19"/>
      <c r="W15" s="2"/>
      <c r="X15" s="2">
        <f t="shared" si="2"/>
        <v>876732.72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--4436.92</f>
        <v>4436.92</v>
      </c>
      <c r="E16" s="2"/>
      <c r="F16" s="19"/>
      <c r="G16" s="2"/>
      <c r="H16" s="2"/>
      <c r="I16" s="2"/>
      <c r="J16" s="19"/>
      <c r="K16" s="2"/>
      <c r="L16" s="2">
        <f t="shared" si="0"/>
        <v>4436.92</v>
      </c>
      <c r="M16" s="2"/>
      <c r="N16" s="19">
        <f t="shared" si="1"/>
        <v>0</v>
      </c>
      <c r="O16" s="11"/>
      <c r="P16" s="2">
        <f>--40114.01</f>
        <v>40114.01</v>
      </c>
      <c r="Q16" s="2"/>
      <c r="R16" s="19"/>
      <c r="S16" s="2"/>
      <c r="T16" s="2"/>
      <c r="U16" s="2"/>
      <c r="V16" s="19"/>
      <c r="W16" s="2"/>
      <c r="X16" s="2">
        <f t="shared" si="2"/>
        <v>40114.01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46906.81</v>
      </c>
      <c r="E18" s="4"/>
      <c r="F18" s="12">
        <f t="shared" ref="F18:F21" si="4">IF(D$12=0,0,D18/D$12)</f>
        <v>0.52022845915285609</v>
      </c>
      <c r="G18" s="4"/>
      <c r="H18" s="4">
        <f>SUM(OSRRefH16x_0)</f>
        <v>58056</v>
      </c>
      <c r="I18" s="4"/>
      <c r="J18" s="12">
        <f t="shared" ref="J18:J21" si="5">IF(H$12=0,0,H18/H$12)</f>
        <v>0.28000250794584763</v>
      </c>
      <c r="K18" s="4"/>
      <c r="L18" s="4">
        <f t="shared" ref="L18:L21" si="6">+D18-H18</f>
        <v>-11149.190000000002</v>
      </c>
      <c r="M18" s="4"/>
      <c r="N18" s="12">
        <f t="shared" ref="N18:N21" si="7">IF(H18=0,0,L18/H18)</f>
        <v>-0.19204199393688856</v>
      </c>
      <c r="O18" s="10"/>
      <c r="P18" s="4">
        <f>SUM(OSRRefP16x_0)</f>
        <v>390567.26</v>
      </c>
      <c r="Q18" s="4"/>
      <c r="R18" s="12">
        <f t="shared" ref="R18:R21" si="8">IF(P$12=0,0,P18/P$12)</f>
        <v>0.42558713118873925</v>
      </c>
      <c r="S18" s="4"/>
      <c r="T18" s="4">
        <f>SUM(OSRRefT16x_0)</f>
        <v>418556</v>
      </c>
      <c r="U18" s="4"/>
      <c r="V18" s="12">
        <f t="shared" ref="V18:V21" si="9">IF(T$12=0,0,T18/T$12)</f>
        <v>0.26963081303588798</v>
      </c>
      <c r="W18" s="4"/>
      <c r="X18" s="4">
        <f t="shared" ref="X18:X21" si="10">+P18-T18</f>
        <v>-27988.739999999991</v>
      </c>
      <c r="Y18" s="4"/>
      <c r="Z18" s="12">
        <f t="shared" ref="Z18:Z21" si="11">IF(T18=0,0,X18/T18)</f>
        <v>-6.6869761752310297E-2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58056</v>
      </c>
      <c r="I19" s="2"/>
      <c r="J19" s="19">
        <f t="shared" si="5"/>
        <v>0.28000250794584763</v>
      </c>
      <c r="K19" s="2"/>
      <c r="L19" s="2">
        <f t="shared" si="6"/>
        <v>-58056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418556</v>
      </c>
      <c r="U19" s="2"/>
      <c r="V19" s="19">
        <f t="shared" si="9"/>
        <v>0.26963081303588798</v>
      </c>
      <c r="W19" s="2"/>
      <c r="X19" s="2">
        <f t="shared" si="10"/>
        <v>-418556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46411.81</v>
      </c>
      <c r="E20" s="2"/>
      <c r="F20" s="19">
        <f t="shared" si="4"/>
        <v>0.51473857213473095</v>
      </c>
      <c r="G20" s="2"/>
      <c r="H20" s="2"/>
      <c r="I20" s="2"/>
      <c r="J20" s="19">
        <f t="shared" si="5"/>
        <v>0</v>
      </c>
      <c r="K20" s="2"/>
      <c r="L20" s="2">
        <f t="shared" si="6"/>
        <v>46411.81</v>
      </c>
      <c r="M20" s="2"/>
      <c r="N20" s="19">
        <f t="shared" si="7"/>
        <v>0</v>
      </c>
      <c r="O20" s="11"/>
      <c r="P20" s="2">
        <v>405258.96</v>
      </c>
      <c r="Q20" s="2"/>
      <c r="R20" s="19">
        <f t="shared" si="8"/>
        <v>0.44159614959772109</v>
      </c>
      <c r="S20" s="2"/>
      <c r="T20" s="2"/>
      <c r="U20" s="2"/>
      <c r="V20" s="19">
        <f t="shared" si="9"/>
        <v>0</v>
      </c>
      <c r="W20" s="2"/>
      <c r="X20" s="2">
        <f t="shared" si="10"/>
        <v>405258.96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495</v>
      </c>
      <c r="E21" s="2"/>
      <c r="F21" s="19">
        <f t="shared" si="4"/>
        <v>5.4898870181251678E-3</v>
      </c>
      <c r="G21" s="2"/>
      <c r="H21" s="2"/>
      <c r="I21" s="2"/>
      <c r="J21" s="19">
        <f t="shared" si="5"/>
        <v>0</v>
      </c>
      <c r="K21" s="2"/>
      <c r="L21" s="2">
        <f t="shared" si="6"/>
        <v>495</v>
      </c>
      <c r="M21" s="2"/>
      <c r="N21" s="19">
        <f t="shared" si="7"/>
        <v>0</v>
      </c>
      <c r="O21" s="11"/>
      <c r="P21" s="2">
        <v>-14691.7</v>
      </c>
      <c r="Q21" s="2"/>
      <c r="R21" s="19">
        <f t="shared" si="8"/>
        <v>-1.6009018408981848E-2</v>
      </c>
      <c r="S21" s="2"/>
      <c r="T21" s="2"/>
      <c r="U21" s="2"/>
      <c r="V21" s="19">
        <f t="shared" si="9"/>
        <v>0</v>
      </c>
      <c r="W21" s="2"/>
      <c r="X21" s="2">
        <f t="shared" si="10"/>
        <v>-14691.7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1">
        <f>D12-D18</f>
        <v>43258.979999999996</v>
      </c>
      <c r="E23" s="14"/>
      <c r="F23" s="20">
        <f>IF(D$12=0,0,D23/D$12)</f>
        <v>0.47977154084714391</v>
      </c>
      <c r="G23" s="14"/>
      <c r="H23" s="21">
        <f>H12-H18</f>
        <v>149285</v>
      </c>
      <c r="I23" s="14"/>
      <c r="J23" s="20">
        <f>IF(H$12=0,0,H23/H$12)</f>
        <v>0.71999749205415231</v>
      </c>
      <c r="K23" s="16"/>
      <c r="L23" s="21">
        <f>+D23-H23</f>
        <v>-106026.02</v>
      </c>
      <c r="M23" s="16"/>
      <c r="N23" s="20">
        <f>IF(H23=0,0,L23/H23)</f>
        <v>-0.71022554174900365</v>
      </c>
      <c r="O23" s="29"/>
      <c r="P23" s="21">
        <f>P12-P18</f>
        <v>527146.72</v>
      </c>
      <c r="Q23" s="14"/>
      <c r="R23" s="20">
        <f>IF(P$12=0,0,P23/P$12)</f>
        <v>0.57441286881126075</v>
      </c>
      <c r="S23" s="14"/>
      <c r="T23" s="21">
        <f>T12-T18</f>
        <v>1133774</v>
      </c>
      <c r="U23" s="14"/>
      <c r="V23" s="20">
        <f>IF(T$12=0,0,T23/T$12)</f>
        <v>0.73036918696411202</v>
      </c>
      <c r="W23" s="16"/>
      <c r="X23" s="21">
        <f>+P23-T23</f>
        <v>-606627.28</v>
      </c>
      <c r="Y23" s="16"/>
      <c r="Z23" s="20">
        <f>IF(T23=0,0,X23/T23)</f>
        <v>-0.53505132416160539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132515.53999999998</v>
      </c>
      <c r="E25" s="22"/>
      <c r="F25" s="32">
        <f t="shared" ref="F25:F36" si="12">IF(D$12=0,0,D25/D$12)</f>
        <v>1.4696875611027196</v>
      </c>
      <c r="G25" s="22"/>
      <c r="H25" s="22">
        <f>SUM(OSRRefH22x_0)</f>
        <v>144396.96980396152</v>
      </c>
      <c r="I25" s="22"/>
      <c r="J25" s="32">
        <f t="shared" ref="J25:J36" si="13">IF(H$12=0,0,H25/H$12)</f>
        <v>0.69642265545146165</v>
      </c>
      <c r="K25" s="4"/>
      <c r="L25" s="22">
        <f t="shared" ref="L25:L36" si="14">+D25-H25</f>
        <v>-11881.429803961539</v>
      </c>
      <c r="M25" s="4"/>
      <c r="N25" s="32">
        <f t="shared" ref="N25:N36" si="15">IF(H25=0,0,L25/H25)</f>
        <v>-8.2283096522677665E-2</v>
      </c>
      <c r="O25" s="10"/>
      <c r="P25" s="22">
        <f>SUM(OSRRefP22x_0)</f>
        <v>1168800.8600000003</v>
      </c>
      <c r="Q25" s="22"/>
      <c r="R25" s="32">
        <f t="shared" ref="R25:R36" si="16">IF(P$12=0,0,P25/P$12)</f>
        <v>1.2736003651159378</v>
      </c>
      <c r="S25" s="22"/>
      <c r="T25" s="22">
        <f>SUM(OSRRefT22x_0)</f>
        <v>1282844.131195711</v>
      </c>
      <c r="U25" s="22"/>
      <c r="V25" s="32">
        <f t="shared" ref="V25:V36" si="17">IF(T$12=0,0,T25/T$12)</f>
        <v>0.82639911049564907</v>
      </c>
      <c r="W25" s="4"/>
      <c r="X25" s="22">
        <f t="shared" ref="X25:X36" si="18">+P25-T25</f>
        <v>-114043.27119571064</v>
      </c>
      <c r="Y25" s="4"/>
      <c r="Z25" s="32">
        <f t="shared" ref="Z25:Z36" si="19">IF(T25=0,0,X25/T25)</f>
        <v>-8.8898774545129969E-2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33685.910000000003</v>
      </c>
      <c r="E26" s="1"/>
      <c r="F26" s="5">
        <f t="shared" si="12"/>
        <v>0.37359967677319755</v>
      </c>
      <c r="G26" s="1"/>
      <c r="H26" s="1">
        <f>SUM(OSRRefH22_0x_0)</f>
        <v>41457.892407038431</v>
      </c>
      <c r="I26" s="1"/>
      <c r="J26" s="5">
        <f t="shared" si="13"/>
        <v>0.19995028675967816</v>
      </c>
      <c r="K26" s="1"/>
      <c r="L26" s="1">
        <f t="shared" si="14"/>
        <v>-7771.9824070384275</v>
      </c>
      <c r="M26" s="1"/>
      <c r="N26" s="5">
        <f t="shared" si="15"/>
        <v>-0.18746689606727221</v>
      </c>
      <c r="O26" s="13"/>
      <c r="P26" s="1">
        <f>SUM(OSRRefP22_0x_0)</f>
        <v>310671.19999999995</v>
      </c>
      <c r="Q26" s="1"/>
      <c r="R26" s="5">
        <f t="shared" si="16"/>
        <v>0.33852726096642871</v>
      </c>
      <c r="S26" s="1"/>
      <c r="T26" s="1">
        <f>SUM(OSRRefT22_0x_0)</f>
        <v>376211.71396378812</v>
      </c>
      <c r="U26" s="1"/>
      <c r="V26" s="5">
        <f t="shared" si="17"/>
        <v>0.24235292364625313</v>
      </c>
      <c r="W26" s="1"/>
      <c r="X26" s="1">
        <f t="shared" si="18"/>
        <v>-65540.513963788166</v>
      </c>
      <c r="Y26" s="1"/>
      <c r="Z26" s="5">
        <f t="shared" si="19"/>
        <v>-0.17421178429892456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4952.2299999999996</v>
      </c>
      <c r="E27" s="2"/>
      <c r="F27" s="6">
        <f t="shared" si="12"/>
        <v>5.4923602399535344E-2</v>
      </c>
      <c r="G27" s="2"/>
      <c r="H27" s="7">
        <v>3964.7352559615401</v>
      </c>
      <c r="I27" s="2"/>
      <c r="J27" s="6">
        <f t="shared" si="13"/>
        <v>1.9121810235127351E-2</v>
      </c>
      <c r="K27" s="2"/>
      <c r="L27" s="7">
        <f t="shared" si="14"/>
        <v>987.49474403845943</v>
      </c>
      <c r="M27" s="2"/>
      <c r="N27" s="6">
        <f t="shared" si="15"/>
        <v>0.24906952930933318</v>
      </c>
      <c r="O27" s="11"/>
      <c r="P27" s="7">
        <v>36418.559999999998</v>
      </c>
      <c r="Q27" s="2"/>
      <c r="R27" s="6">
        <f t="shared" si="16"/>
        <v>3.9683998275802664E-2</v>
      </c>
      <c r="S27" s="2"/>
      <c r="T27" s="7">
        <v>35619.689922461497</v>
      </c>
      <c r="U27" s="2"/>
      <c r="V27" s="6">
        <f t="shared" si="17"/>
        <v>2.2945952163819224E-2</v>
      </c>
      <c r="W27" s="2"/>
      <c r="X27" s="7">
        <f t="shared" si="18"/>
        <v>798.87007753850048</v>
      </c>
      <c r="Y27" s="2"/>
      <c r="Z27" s="6">
        <f t="shared" si="19"/>
        <v>2.2427766195537241E-2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2152.6799999999998</v>
      </c>
      <c r="E28" s="2"/>
      <c r="F28" s="6">
        <f t="shared" si="12"/>
        <v>2.3874686840763E-2</v>
      </c>
      <c r="G28" s="2"/>
      <c r="H28" s="7">
        <v>3166.8177024000001</v>
      </c>
      <c r="I28" s="2"/>
      <c r="J28" s="6">
        <f t="shared" si="13"/>
        <v>1.5273475590452444E-2</v>
      </c>
      <c r="K28" s="2"/>
      <c r="L28" s="7">
        <f t="shared" si="14"/>
        <v>-1014.1377024000003</v>
      </c>
      <c r="M28" s="2"/>
      <c r="N28" s="6">
        <f t="shared" si="15"/>
        <v>-0.32023873733919933</v>
      </c>
      <c r="O28" s="11"/>
      <c r="P28" s="7">
        <v>24196.76</v>
      </c>
      <c r="Q28" s="2"/>
      <c r="R28" s="6">
        <f t="shared" si="16"/>
        <v>2.6366341286421287E-2</v>
      </c>
      <c r="S28" s="2"/>
      <c r="T28" s="7">
        <v>27613.573843350001</v>
      </c>
      <c r="U28" s="2"/>
      <c r="V28" s="6">
        <f t="shared" si="17"/>
        <v>1.7788468845767329E-2</v>
      </c>
      <c r="W28" s="2"/>
      <c r="X28" s="7">
        <f t="shared" si="18"/>
        <v>-3416.8138433500026</v>
      </c>
      <c r="Y28" s="2"/>
      <c r="Z28" s="6">
        <f t="shared" si="19"/>
        <v>-0.12373674855465519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17691.580000000002</v>
      </c>
      <c r="E29" s="2"/>
      <c r="F29" s="6">
        <f t="shared" si="12"/>
        <v>0.19621166741843002</v>
      </c>
      <c r="G29" s="2"/>
      <c r="H29" s="7">
        <v>22630.769230769201</v>
      </c>
      <c r="I29" s="2"/>
      <c r="J29" s="6">
        <f t="shared" si="13"/>
        <v>0.10914758408018289</v>
      </c>
      <c r="K29" s="2"/>
      <c r="L29" s="7">
        <f t="shared" si="14"/>
        <v>-4939.1892307691996</v>
      </c>
      <c r="M29" s="2"/>
      <c r="N29" s="6">
        <f t="shared" si="15"/>
        <v>-0.21825105370496151</v>
      </c>
      <c r="O29" s="11"/>
      <c r="P29" s="7">
        <v>173770.12</v>
      </c>
      <c r="Q29" s="2"/>
      <c r="R29" s="6">
        <f t="shared" si="16"/>
        <v>0.18935106556838113</v>
      </c>
      <c r="S29" s="2"/>
      <c r="T29" s="7">
        <v>207940.76923076899</v>
      </c>
      <c r="U29" s="2"/>
      <c r="V29" s="6">
        <f t="shared" si="17"/>
        <v>0.13395397192012587</v>
      </c>
      <c r="W29" s="2"/>
      <c r="X29" s="7">
        <f t="shared" si="18"/>
        <v>-34170.649230768991</v>
      </c>
      <c r="Y29" s="2"/>
      <c r="Z29" s="6">
        <f t="shared" si="19"/>
        <v>-0.16432876225848242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130.97999999999999</v>
      </c>
      <c r="E30" s="2"/>
      <c r="F30" s="6">
        <f t="shared" si="12"/>
        <v>1.4526573770384532E-3</v>
      </c>
      <c r="G30" s="2"/>
      <c r="H30" s="7">
        <v>191.9283456</v>
      </c>
      <c r="I30" s="2"/>
      <c r="J30" s="6">
        <f t="shared" si="13"/>
        <v>9.2566518730014804E-4</v>
      </c>
      <c r="K30" s="2"/>
      <c r="L30" s="7">
        <f t="shared" si="14"/>
        <v>-60.94834560000001</v>
      </c>
      <c r="M30" s="2"/>
      <c r="N30" s="6">
        <f t="shared" si="15"/>
        <v>-0.3175578125756533</v>
      </c>
      <c r="O30" s="11"/>
      <c r="P30" s="7">
        <v>1546.24</v>
      </c>
      <c r="Q30" s="2"/>
      <c r="R30" s="6">
        <f t="shared" si="16"/>
        <v>1.6848822549265295E-3</v>
      </c>
      <c r="S30" s="2"/>
      <c r="T30" s="7">
        <v>1673.5499299000001</v>
      </c>
      <c r="U30" s="2"/>
      <c r="V30" s="6">
        <f t="shared" si="17"/>
        <v>1.0780890209555957E-3</v>
      </c>
      <c r="W30" s="2"/>
      <c r="X30" s="7">
        <f t="shared" si="18"/>
        <v>-127.30992990000004</v>
      </c>
      <c r="Y30" s="2"/>
      <c r="Z30" s="6">
        <f t="shared" si="19"/>
        <v>-7.6071784668896747E-2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1457.5</v>
      </c>
      <c r="E31" s="2"/>
      <c r="F31" s="6">
        <f t="shared" si="12"/>
        <v>1.6164667331146326E-2</v>
      </c>
      <c r="G31" s="2"/>
      <c r="H31" s="7">
        <v>2223.1248076923098</v>
      </c>
      <c r="I31" s="2"/>
      <c r="J31" s="6">
        <f t="shared" si="13"/>
        <v>1.0722070442856502E-2</v>
      </c>
      <c r="K31" s="2"/>
      <c r="L31" s="7">
        <f t="shared" si="14"/>
        <v>-765.62480769230979</v>
      </c>
      <c r="M31" s="2"/>
      <c r="N31" s="6">
        <f t="shared" si="15"/>
        <v>-0.34439128430538191</v>
      </c>
      <c r="O31" s="11"/>
      <c r="P31" s="7">
        <v>16099.06</v>
      </c>
      <c r="Q31" s="2"/>
      <c r="R31" s="6">
        <f t="shared" si="16"/>
        <v>1.7542568110382278E-2</v>
      </c>
      <c r="S31" s="2"/>
      <c r="T31" s="7">
        <v>19563.498307692302</v>
      </c>
      <c r="U31" s="2"/>
      <c r="V31" s="6">
        <f t="shared" si="17"/>
        <v>1.2602667156913995E-2</v>
      </c>
      <c r="W31" s="2"/>
      <c r="X31" s="7">
        <f t="shared" si="18"/>
        <v>-3464.4383076923023</v>
      </c>
      <c r="Y31" s="2"/>
      <c r="Z31" s="6">
        <f t="shared" si="19"/>
        <v>-0.17708685088955162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531.49</v>
      </c>
      <c r="E33" s="2"/>
      <c r="F33" s="6">
        <f t="shared" si="12"/>
        <v>5.8945859621481718E-3</v>
      </c>
      <c r="G33" s="2"/>
      <c r="H33" s="7"/>
      <c r="I33" s="2"/>
      <c r="J33" s="6">
        <f t="shared" si="13"/>
        <v>0</v>
      </c>
      <c r="K33" s="2"/>
      <c r="L33" s="7">
        <f t="shared" si="14"/>
        <v>531.49</v>
      </c>
      <c r="M33" s="2"/>
      <c r="N33" s="6">
        <f t="shared" si="15"/>
        <v>0</v>
      </c>
      <c r="O33" s="11"/>
      <c r="P33" s="7">
        <v>5468.1</v>
      </c>
      <c r="Q33" s="2"/>
      <c r="R33" s="6">
        <f t="shared" si="16"/>
        <v>5.9583923958530091E-3</v>
      </c>
      <c r="S33" s="2"/>
      <c r="T33" s="7"/>
      <c r="U33" s="2"/>
      <c r="V33" s="6">
        <f t="shared" si="17"/>
        <v>0</v>
      </c>
      <c r="W33" s="2"/>
      <c r="X33" s="7">
        <f t="shared" si="18"/>
        <v>5468.1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3910.44</v>
      </c>
      <c r="E34" s="2"/>
      <c r="F34" s="6">
        <f t="shared" si="12"/>
        <v>4.3369442002338138E-2</v>
      </c>
      <c r="G34" s="2"/>
      <c r="H34" s="7">
        <v>4104.8334615384601</v>
      </c>
      <c r="I34" s="2"/>
      <c r="J34" s="6">
        <f t="shared" si="13"/>
        <v>1.979750006770711E-2</v>
      </c>
      <c r="K34" s="2"/>
      <c r="L34" s="7">
        <f t="shared" si="14"/>
        <v>-194.39346153846009</v>
      </c>
      <c r="M34" s="2"/>
      <c r="N34" s="6">
        <f t="shared" si="15"/>
        <v>-4.7357210313132392E-2</v>
      </c>
      <c r="O34" s="11"/>
      <c r="P34" s="7">
        <v>27764.26</v>
      </c>
      <c r="Q34" s="2"/>
      <c r="R34" s="6">
        <f t="shared" si="16"/>
        <v>3.0253718048405452E-2</v>
      </c>
      <c r="S34" s="2"/>
      <c r="T34" s="7">
        <v>36122.534461538497</v>
      </c>
      <c r="U34" s="2"/>
      <c r="V34" s="6">
        <f t="shared" si="17"/>
        <v>2.3269881057209806E-2</v>
      </c>
      <c r="W34" s="2"/>
      <c r="X34" s="7">
        <f t="shared" si="18"/>
        <v>-8358.2744615384981</v>
      </c>
      <c r="Y34" s="2"/>
      <c r="Z34" s="6">
        <f t="shared" si="19"/>
        <v>-0.23138671153980014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2449.83</v>
      </c>
      <c r="E35" s="2"/>
      <c r="F35" s="6">
        <f t="shared" si="12"/>
        <v>2.7170282653764803E-2</v>
      </c>
      <c r="G35" s="2"/>
      <c r="H35" s="7">
        <v>3250.68360307692</v>
      </c>
      <c r="I35" s="2"/>
      <c r="J35" s="6">
        <f t="shared" si="13"/>
        <v>1.5677958546919904E-2</v>
      </c>
      <c r="K35" s="2"/>
      <c r="L35" s="7">
        <f t="shared" si="14"/>
        <v>-800.85360307692008</v>
      </c>
      <c r="M35" s="2"/>
      <c r="N35" s="6">
        <f t="shared" si="15"/>
        <v>-0.24636467305488474</v>
      </c>
      <c r="O35" s="11"/>
      <c r="P35" s="7">
        <v>17415.25</v>
      </c>
      <c r="Q35" s="2"/>
      <c r="R35" s="6">
        <f t="shared" si="16"/>
        <v>1.8976773133607489E-2</v>
      </c>
      <c r="S35" s="2"/>
      <c r="T35" s="7">
        <v>28428.098268076901</v>
      </c>
      <c r="U35" s="2"/>
      <c r="V35" s="6">
        <f t="shared" si="17"/>
        <v>1.8313179715702784E-2</v>
      </c>
      <c r="W35" s="2"/>
      <c r="X35" s="7">
        <f t="shared" si="18"/>
        <v>-11012.848268076901</v>
      </c>
      <c r="Y35" s="2"/>
      <c r="Z35" s="6">
        <f t="shared" si="19"/>
        <v>-0.38739307020208552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409.18</v>
      </c>
      <c r="E36" s="2"/>
      <c r="F36" s="6">
        <f t="shared" si="12"/>
        <v>4.5380847880332441E-3</v>
      </c>
      <c r="G36" s="2"/>
      <c r="H36" s="7">
        <v>1925</v>
      </c>
      <c r="I36" s="2"/>
      <c r="J36" s="6">
        <f t="shared" si="13"/>
        <v>9.2842226091318161E-3</v>
      </c>
      <c r="K36" s="2"/>
      <c r="L36" s="7">
        <f t="shared" si="14"/>
        <v>-1515.82</v>
      </c>
      <c r="M36" s="2"/>
      <c r="N36" s="6">
        <f t="shared" si="15"/>
        <v>-0.78743896103896105</v>
      </c>
      <c r="O36" s="11"/>
      <c r="P36" s="7">
        <v>7992.85</v>
      </c>
      <c r="Q36" s="2"/>
      <c r="R36" s="6">
        <f t="shared" si="16"/>
        <v>8.7095218926489491E-3</v>
      </c>
      <c r="S36" s="2"/>
      <c r="T36" s="7">
        <v>19250</v>
      </c>
      <c r="U36" s="2"/>
      <c r="V36" s="6">
        <f t="shared" si="17"/>
        <v>1.240071376575857E-2</v>
      </c>
      <c r="W36" s="2"/>
      <c r="X36" s="7">
        <f t="shared" si="18"/>
        <v>-11257.15</v>
      </c>
      <c r="Y36" s="2"/>
      <c r="Z36" s="6">
        <f t="shared" si="19"/>
        <v>-0.58478701298701297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63536.719999999994</v>
      </c>
      <c r="E37" s="1"/>
      <c r="F37" s="5">
        <f t="shared" ref="F37:F47" si="20">IF(D$12=0,0,D37/D$12)</f>
        <v>0.70466548343889623</v>
      </c>
      <c r="G37" s="1"/>
      <c r="H37" s="1">
        <f>SUM(OSRRefH22_1x_0)</f>
        <v>66463.077396923094</v>
      </c>
      <c r="I37" s="1"/>
      <c r="J37" s="5">
        <f t="shared" ref="J37:J47" si="21">IF(H$12=0,0,H37/H$12)</f>
        <v>0.32054961342389154</v>
      </c>
      <c r="K37" s="1"/>
      <c r="L37" s="1">
        <f t="shared" ref="L37:L47" si="22">+D37-H37</f>
        <v>-2926.3573969231002</v>
      </c>
      <c r="M37" s="1"/>
      <c r="N37" s="5">
        <f t="shared" ref="N37:N47" si="23">IF(H37=0,0,L37/H37)</f>
        <v>-4.4029820940228927E-2</v>
      </c>
      <c r="O37" s="13"/>
      <c r="P37" s="1">
        <f>SUM(OSRRefP22_1x_0)</f>
        <v>547721.71000000008</v>
      </c>
      <c r="Q37" s="1"/>
      <c r="R37" s="5">
        <f t="shared" ref="R37:R47" si="24">IF(P$12=0,0,P37/P$12)</f>
        <v>0.59683269726369437</v>
      </c>
      <c r="S37" s="1"/>
      <c r="T37" s="1">
        <f>SUM(OSRRefT22_1x_0)</f>
        <v>579122.41723192309</v>
      </c>
      <c r="U37" s="1"/>
      <c r="V37" s="5">
        <f t="shared" ref="V37:V47" si="25">IF(T$12=0,0,T37/T$12)</f>
        <v>0.37306656267154736</v>
      </c>
      <c r="W37" s="1"/>
      <c r="X37" s="1">
        <f t="shared" ref="X37:X47" si="26">+P37-T37</f>
        <v>-31400.707231923006</v>
      </c>
      <c r="Y37" s="1"/>
      <c r="Z37" s="5">
        <f t="shared" ref="Z37:Z47" si="27">IF(T37=0,0,X37/T37)</f>
        <v>-5.4221191060106831E-2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17425.37</v>
      </c>
      <c r="E39" s="2"/>
      <c r="F39" s="6">
        <f t="shared" si="20"/>
        <v>0.19325921727076312</v>
      </c>
      <c r="G39" s="2"/>
      <c r="H39" s="7">
        <v>22269.8605769231</v>
      </c>
      <c r="I39" s="2"/>
      <c r="J39" s="6">
        <f t="shared" si="21"/>
        <v>0.10740693146518586</v>
      </c>
      <c r="K39" s="2"/>
      <c r="L39" s="7">
        <f t="shared" si="22"/>
        <v>-4844.4905769231009</v>
      </c>
      <c r="M39" s="2"/>
      <c r="N39" s="6">
        <f t="shared" si="23"/>
        <v>-0.21753573895038891</v>
      </c>
      <c r="O39" s="11"/>
      <c r="P39" s="7">
        <v>154505.26</v>
      </c>
      <c r="Q39" s="2"/>
      <c r="R39" s="6">
        <f t="shared" si="24"/>
        <v>0.16835883877458205</v>
      </c>
      <c r="S39" s="2"/>
      <c r="T39" s="7">
        <v>195974.77307692301</v>
      </c>
      <c r="U39" s="2"/>
      <c r="V39" s="6">
        <f t="shared" si="25"/>
        <v>0.12624556188241096</v>
      </c>
      <c r="W39" s="2"/>
      <c r="X39" s="7">
        <f t="shared" si="26"/>
        <v>-41469.513076923002</v>
      </c>
      <c r="Y39" s="2"/>
      <c r="Z39" s="6">
        <f t="shared" si="27"/>
        <v>-0.21160638395353876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28528.41</v>
      </c>
      <c r="E41" s="2"/>
      <c r="F41" s="6">
        <f t="shared" si="20"/>
        <v>0.31639949031667114</v>
      </c>
      <c r="G41" s="2"/>
      <c r="H41" s="7">
        <v>22841.279999999999</v>
      </c>
      <c r="I41" s="2"/>
      <c r="J41" s="6">
        <f t="shared" si="21"/>
        <v>0.11016287179091448</v>
      </c>
      <c r="K41" s="2"/>
      <c r="L41" s="7">
        <f t="shared" si="22"/>
        <v>5687.130000000001</v>
      </c>
      <c r="M41" s="2"/>
      <c r="N41" s="6">
        <f t="shared" si="23"/>
        <v>0.24898473290463588</v>
      </c>
      <c r="O41" s="11"/>
      <c r="P41" s="7">
        <v>168970.39</v>
      </c>
      <c r="Q41" s="2"/>
      <c r="R41" s="6">
        <f t="shared" si="24"/>
        <v>0.18412097198301372</v>
      </c>
      <c r="S41" s="2"/>
      <c r="T41" s="7">
        <v>201003.264</v>
      </c>
      <c r="U41" s="2"/>
      <c r="V41" s="6">
        <f t="shared" si="25"/>
        <v>0.12948488014790668</v>
      </c>
      <c r="W41" s="2"/>
      <c r="X41" s="7">
        <f t="shared" si="26"/>
        <v>-32032.873999999982</v>
      </c>
      <c r="Y41" s="2"/>
      <c r="Z41" s="6">
        <f t="shared" si="27"/>
        <v>-0.15936494444189714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>
        <v>10614.88</v>
      </c>
      <c r="E42" s="2"/>
      <c r="F42" s="6">
        <f t="shared" si="20"/>
        <v>0.11772624628476056</v>
      </c>
      <c r="G42" s="2"/>
      <c r="H42" s="7">
        <v>6584.2688200000002</v>
      </c>
      <c r="I42" s="2"/>
      <c r="J42" s="6">
        <f t="shared" si="21"/>
        <v>3.1755749321166579E-2</v>
      </c>
      <c r="K42" s="2"/>
      <c r="L42" s="7">
        <f t="shared" si="22"/>
        <v>4030.611179999999</v>
      </c>
      <c r="M42" s="2"/>
      <c r="N42" s="6">
        <f t="shared" si="23"/>
        <v>0.61215774905132125</v>
      </c>
      <c r="O42" s="11"/>
      <c r="P42" s="7">
        <v>99974.07</v>
      </c>
      <c r="Q42" s="2"/>
      <c r="R42" s="6">
        <f t="shared" si="24"/>
        <v>0.1089381573984522</v>
      </c>
      <c r="S42" s="2"/>
      <c r="T42" s="7">
        <v>55741.837155000001</v>
      </c>
      <c r="U42" s="2"/>
      <c r="V42" s="6">
        <f t="shared" si="25"/>
        <v>3.5908497004502909E-2</v>
      </c>
      <c r="W42" s="2"/>
      <c r="X42" s="7">
        <f t="shared" si="26"/>
        <v>44232.232845000006</v>
      </c>
      <c r="Y42" s="2"/>
      <c r="Z42" s="6">
        <f t="shared" si="27"/>
        <v>0.79351946585478494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>
        <v>847.56</v>
      </c>
      <c r="E43" s="2"/>
      <c r="F43" s="6">
        <f t="shared" si="20"/>
        <v>9.4000174567316491E-3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847.56</v>
      </c>
      <c r="M43" s="2"/>
      <c r="N43" s="6">
        <f t="shared" si="23"/>
        <v>0</v>
      </c>
      <c r="O43" s="11"/>
      <c r="P43" s="7">
        <v>2174.52</v>
      </c>
      <c r="Q43" s="2"/>
      <c r="R43" s="6">
        <f t="shared" si="24"/>
        <v>2.3694964306852991E-3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2174.52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>
        <v>6120.5</v>
      </c>
      <c r="E44" s="2"/>
      <c r="F44" s="6">
        <f t="shared" si="20"/>
        <v>6.7880512109969871E-2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6120.5</v>
      </c>
      <c r="M44" s="2"/>
      <c r="N44" s="6">
        <f t="shared" si="23"/>
        <v>0</v>
      </c>
      <c r="O44" s="11"/>
      <c r="P44" s="7">
        <v>111466.59</v>
      </c>
      <c r="Q44" s="2"/>
      <c r="R44" s="6">
        <f t="shared" si="24"/>
        <v>0.12146114413556171</v>
      </c>
      <c r="S44" s="2"/>
      <c r="T44" s="7">
        <v>9252.83</v>
      </c>
      <c r="U44" s="2"/>
      <c r="V44" s="6">
        <f t="shared" si="25"/>
        <v>5.9606076027648759E-3</v>
      </c>
      <c r="W44" s="2"/>
      <c r="X44" s="7">
        <f t="shared" si="26"/>
        <v>102213.75999999999</v>
      </c>
      <c r="Y44" s="2"/>
      <c r="Z44" s="6">
        <f t="shared" si="27"/>
        <v>11.0467565058474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14767.668</v>
      </c>
      <c r="I45" s="2"/>
      <c r="J45" s="6">
        <f t="shared" si="21"/>
        <v>7.1224060846624637E-2</v>
      </c>
      <c r="K45" s="2"/>
      <c r="L45" s="7">
        <f t="shared" si="22"/>
        <v>-14767.668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1.1584088541399357E-2</v>
      </c>
      <c r="S45" s="2"/>
      <c r="T45" s="7">
        <v>117149.713</v>
      </c>
      <c r="U45" s="2"/>
      <c r="V45" s="6">
        <f t="shared" si="25"/>
        <v>7.5467016033961859E-2</v>
      </c>
      <c r="W45" s="2"/>
      <c r="X45" s="7">
        <f t="shared" si="26"/>
        <v>-106518.833</v>
      </c>
      <c r="Y45" s="2"/>
      <c r="Z45" s="6">
        <f t="shared" si="27"/>
        <v>-0.90925389633690346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122.76</v>
      </c>
      <c r="E48" s="1"/>
      <c r="F48" s="5">
        <f t="shared" ref="F48:F70" si="28">IF(D$12=0,0,D48/D$12)</f>
        <v>1.3614919804950415E-3</v>
      </c>
      <c r="G48" s="1"/>
      <c r="H48" s="1">
        <f>SUM(OSRRefH22_2x_0)</f>
        <v>369</v>
      </c>
      <c r="I48" s="1"/>
      <c r="J48" s="5">
        <f t="shared" ref="J48:J70" si="29">IF(H$12=0,0,H48/H$12)</f>
        <v>1.77967695728293E-3</v>
      </c>
      <c r="K48" s="1"/>
      <c r="L48" s="1">
        <f t="shared" ref="L48:L70" si="30">+D48-H48</f>
        <v>-246.24</v>
      </c>
      <c r="M48" s="1"/>
      <c r="N48" s="5">
        <f t="shared" ref="N48:N70" si="31">IF(H48=0,0,L48/H48)</f>
        <v>-0.66731707317073174</v>
      </c>
      <c r="O48" s="13"/>
      <c r="P48" s="1">
        <f>SUM(OSRRefP22_2x_0)</f>
        <v>1363.18</v>
      </c>
      <c r="Q48" s="1"/>
      <c r="R48" s="5">
        <f t="shared" ref="R48:R70" si="32">IF(P$12=0,0,P48/P$12)</f>
        <v>1.4854083404068881E-3</v>
      </c>
      <c r="S48" s="1"/>
      <c r="T48" s="1">
        <f>SUM(OSRRefT22_2x_0)</f>
        <v>3690</v>
      </c>
      <c r="U48" s="1"/>
      <c r="V48" s="5">
        <f t="shared" ref="V48:V70" si="33">IF(T$12=0,0,T48/T$12)</f>
        <v>2.3770718854882662E-3</v>
      </c>
      <c r="W48" s="1"/>
      <c r="X48" s="1">
        <f t="shared" ref="X48:X70" si="34">+P48-T48</f>
        <v>-2326.8199999999997</v>
      </c>
      <c r="Y48" s="1"/>
      <c r="Z48" s="5">
        <f t="shared" ref="Z48:Z70" si="35">IF(T48=0,0,X48/T48)</f>
        <v>-0.63057452574525741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>
        <v>122.76</v>
      </c>
      <c r="E49" s="2"/>
      <c r="F49" s="6">
        <f t="shared" si="28"/>
        <v>1.3614919804950415E-3</v>
      </c>
      <c r="G49" s="2"/>
      <c r="H49" s="7">
        <v>369</v>
      </c>
      <c r="I49" s="2"/>
      <c r="J49" s="6">
        <f t="shared" si="29"/>
        <v>1.77967695728293E-3</v>
      </c>
      <c r="K49" s="2"/>
      <c r="L49" s="7">
        <f t="shared" si="30"/>
        <v>-246.24</v>
      </c>
      <c r="M49" s="2"/>
      <c r="N49" s="6">
        <f t="shared" si="31"/>
        <v>-0.66731707317073174</v>
      </c>
      <c r="O49" s="11"/>
      <c r="P49" s="7">
        <v>1363.18</v>
      </c>
      <c r="Q49" s="2"/>
      <c r="R49" s="6">
        <f t="shared" si="32"/>
        <v>1.4854083404068881E-3</v>
      </c>
      <c r="S49" s="2"/>
      <c r="T49" s="7">
        <v>3690</v>
      </c>
      <c r="U49" s="2"/>
      <c r="V49" s="6">
        <f t="shared" si="33"/>
        <v>2.3770718854882662E-3</v>
      </c>
      <c r="W49" s="2"/>
      <c r="X49" s="7">
        <f t="shared" si="34"/>
        <v>-2326.8199999999997</v>
      </c>
      <c r="Y49" s="2"/>
      <c r="Z49" s="6">
        <f t="shared" si="35"/>
        <v>-0.63057452574525741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3.8583782271716642E-5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23.8</v>
      </c>
      <c r="Q50" s="1"/>
      <c r="R50" s="5">
        <f t="shared" si="32"/>
        <v>2.593400614862596E-5</v>
      </c>
      <c r="S50" s="1"/>
      <c r="T50" s="1">
        <f>SUM(OSRRefT22_3x_0)</f>
        <v>72</v>
      </c>
      <c r="U50" s="1"/>
      <c r="V50" s="5">
        <f t="shared" si="33"/>
        <v>4.6381890448551532E-5</v>
      </c>
      <c r="W50" s="1"/>
      <c r="X50" s="1">
        <f t="shared" si="34"/>
        <v>-48.2</v>
      </c>
      <c r="Y50" s="1"/>
      <c r="Z50" s="5">
        <f t="shared" si="35"/>
        <v>-0.66944444444444451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3.8583782271716642E-5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>
        <v>23.8</v>
      </c>
      <c r="Q51" s="2"/>
      <c r="R51" s="6">
        <f t="shared" si="32"/>
        <v>2.593400614862596E-5</v>
      </c>
      <c r="S51" s="2"/>
      <c r="T51" s="7">
        <v>72</v>
      </c>
      <c r="U51" s="2"/>
      <c r="V51" s="6">
        <f t="shared" si="33"/>
        <v>4.6381890448551532E-5</v>
      </c>
      <c r="W51" s="2"/>
      <c r="X51" s="7">
        <f t="shared" si="34"/>
        <v>-48.2</v>
      </c>
      <c r="Y51" s="2"/>
      <c r="Z51" s="6">
        <f t="shared" si="35"/>
        <v>-0.66944444444444451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79.34</v>
      </c>
      <c r="E52" s="1"/>
      <c r="F52" s="5">
        <f t="shared" si="28"/>
        <v>8.7993461821828448E-4</v>
      </c>
      <c r="G52" s="1"/>
      <c r="H52" s="1">
        <f>SUM(OSRRefH22_4x_0)</f>
        <v>135</v>
      </c>
      <c r="I52" s="1"/>
      <c r="J52" s="5">
        <f t="shared" si="29"/>
        <v>6.5110132583521836E-4</v>
      </c>
      <c r="K52" s="1"/>
      <c r="L52" s="1">
        <f t="shared" si="30"/>
        <v>-55.66</v>
      </c>
      <c r="M52" s="1"/>
      <c r="N52" s="5">
        <f t="shared" si="31"/>
        <v>-0.41229629629629627</v>
      </c>
      <c r="O52" s="13"/>
      <c r="P52" s="1">
        <f>SUM(OSRRefP22_4x_0)</f>
        <v>346.34</v>
      </c>
      <c r="Q52" s="1"/>
      <c r="R52" s="5">
        <f t="shared" si="32"/>
        <v>3.7739427266870226E-4</v>
      </c>
      <c r="S52" s="1"/>
      <c r="T52" s="1">
        <f>SUM(OSRRefT22_4x_0)</f>
        <v>1350</v>
      </c>
      <c r="U52" s="1"/>
      <c r="V52" s="5">
        <f t="shared" si="33"/>
        <v>8.6966044591034128E-4</v>
      </c>
      <c r="W52" s="1"/>
      <c r="X52" s="1">
        <f t="shared" si="34"/>
        <v>-1003.6600000000001</v>
      </c>
      <c r="Y52" s="1"/>
      <c r="Z52" s="5">
        <f t="shared" si="35"/>
        <v>-0.74345185185185192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>
        <v>79.34</v>
      </c>
      <c r="E53" s="2"/>
      <c r="F53" s="6">
        <f t="shared" si="28"/>
        <v>8.7993461821828448E-4</v>
      </c>
      <c r="G53" s="2"/>
      <c r="H53" s="7">
        <v>135</v>
      </c>
      <c r="I53" s="2"/>
      <c r="J53" s="6">
        <f t="shared" si="29"/>
        <v>6.5110132583521836E-4</v>
      </c>
      <c r="K53" s="2"/>
      <c r="L53" s="7">
        <f t="shared" si="30"/>
        <v>-55.66</v>
      </c>
      <c r="M53" s="2"/>
      <c r="N53" s="6">
        <f t="shared" si="31"/>
        <v>-0.41229629629629627</v>
      </c>
      <c r="O53" s="11"/>
      <c r="P53" s="7">
        <v>346.34</v>
      </c>
      <c r="Q53" s="2"/>
      <c r="R53" s="6">
        <f t="shared" si="32"/>
        <v>3.7739427266870226E-4</v>
      </c>
      <c r="S53" s="2"/>
      <c r="T53" s="7">
        <v>1350</v>
      </c>
      <c r="U53" s="2"/>
      <c r="V53" s="6">
        <f t="shared" si="33"/>
        <v>8.6966044591034128E-4</v>
      </c>
      <c r="W53" s="2"/>
      <c r="X53" s="7">
        <f t="shared" si="34"/>
        <v>-1003.6600000000001</v>
      </c>
      <c r="Y53" s="2"/>
      <c r="Z53" s="6">
        <f t="shared" si="35"/>
        <v>-0.74345185185185192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272.74</v>
      </c>
      <c r="E54" s="1"/>
      <c r="F54" s="5">
        <f t="shared" si="28"/>
        <v>3.0248722935827437E-3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3"/>
      <c r="P54" s="1">
        <f>SUM(OSRRefP22_5x_0)</f>
        <v>2463.1799999999998</v>
      </c>
      <c r="Q54" s="1"/>
      <c r="R54" s="5">
        <f t="shared" si="32"/>
        <v>2.6840388766879194E-3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2463.1799999999998</v>
      </c>
      <c r="Y54" s="1"/>
      <c r="Z54" s="5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8"/>
        <v>3.0248722935827437E-3</v>
      </c>
      <c r="G55" s="2"/>
      <c r="H55" s="7"/>
      <c r="I55" s="2"/>
      <c r="J55" s="6">
        <f t="shared" si="29"/>
        <v>0</v>
      </c>
      <c r="K55" s="2"/>
      <c r="L55" s="7">
        <f t="shared" si="30"/>
        <v>272.74</v>
      </c>
      <c r="M55" s="2"/>
      <c r="N55" s="6">
        <f t="shared" si="31"/>
        <v>0</v>
      </c>
      <c r="O55" s="11"/>
      <c r="P55" s="7">
        <v>2463.1799999999998</v>
      </c>
      <c r="Q55" s="2"/>
      <c r="R55" s="6">
        <f t="shared" si="32"/>
        <v>2.6840388766879194E-3</v>
      </c>
      <c r="S55" s="2"/>
      <c r="T55" s="7"/>
      <c r="U55" s="2"/>
      <c r="V55" s="6">
        <f t="shared" si="33"/>
        <v>0</v>
      </c>
      <c r="W55" s="2"/>
      <c r="X55" s="7">
        <f t="shared" si="34"/>
        <v>2463.1799999999998</v>
      </c>
      <c r="Y55" s="2"/>
      <c r="Z55" s="6">
        <f t="shared" si="35"/>
        <v>0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7325.88</v>
      </c>
      <c r="E56" s="1"/>
      <c r="F56" s="5">
        <f t="shared" si="28"/>
        <v>8.1248996986551109E-2</v>
      </c>
      <c r="G56" s="1"/>
      <c r="H56" s="1">
        <f>SUM(OSRRefH22_6x_0)</f>
        <v>3100</v>
      </c>
      <c r="I56" s="1"/>
      <c r="J56" s="5">
        <f t="shared" si="29"/>
        <v>1.4951215630290199E-2</v>
      </c>
      <c r="K56" s="1"/>
      <c r="L56" s="1">
        <f t="shared" si="30"/>
        <v>4225.88</v>
      </c>
      <c r="M56" s="1"/>
      <c r="N56" s="5">
        <f t="shared" si="31"/>
        <v>1.3631870967741935</v>
      </c>
      <c r="O56" s="13"/>
      <c r="P56" s="1">
        <f>SUM(OSRRefP22_6x_0)</f>
        <v>58305.64</v>
      </c>
      <c r="Q56" s="1"/>
      <c r="R56" s="5">
        <f t="shared" si="32"/>
        <v>6.3533564128553432E-2</v>
      </c>
      <c r="S56" s="1"/>
      <c r="T56" s="1">
        <f>SUM(OSRRefT22_6x_0)</f>
        <v>29900</v>
      </c>
      <c r="U56" s="1"/>
      <c r="V56" s="5">
        <f t="shared" si="33"/>
        <v>1.9261368394606817E-2</v>
      </c>
      <c r="W56" s="1"/>
      <c r="X56" s="1">
        <f t="shared" si="34"/>
        <v>28405.64</v>
      </c>
      <c r="Y56" s="1"/>
      <c r="Z56" s="5">
        <f t="shared" si="35"/>
        <v>0.95002140468227425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>
        <v>7325.88</v>
      </c>
      <c r="E57" s="2"/>
      <c r="F57" s="6">
        <f t="shared" si="28"/>
        <v>8.1248996986551109E-2</v>
      </c>
      <c r="G57" s="2"/>
      <c r="H57" s="7">
        <v>3100</v>
      </c>
      <c r="I57" s="2"/>
      <c r="J57" s="6">
        <f t="shared" si="29"/>
        <v>1.4951215630290199E-2</v>
      </c>
      <c r="K57" s="2"/>
      <c r="L57" s="7">
        <f t="shared" si="30"/>
        <v>4225.88</v>
      </c>
      <c r="M57" s="2"/>
      <c r="N57" s="6">
        <f t="shared" si="31"/>
        <v>1.3631870967741935</v>
      </c>
      <c r="O57" s="11"/>
      <c r="P57" s="7">
        <v>58305.64</v>
      </c>
      <c r="Q57" s="2"/>
      <c r="R57" s="6">
        <f t="shared" si="32"/>
        <v>6.3533564128553432E-2</v>
      </c>
      <c r="S57" s="2"/>
      <c r="T57" s="7">
        <v>29900</v>
      </c>
      <c r="U57" s="2"/>
      <c r="V57" s="6">
        <f t="shared" si="33"/>
        <v>1.9261368394606817E-2</v>
      </c>
      <c r="W57" s="2"/>
      <c r="X57" s="7">
        <f t="shared" si="34"/>
        <v>28405.64</v>
      </c>
      <c r="Y57" s="2"/>
      <c r="Z57" s="6">
        <f t="shared" si="35"/>
        <v>0.95002140468227425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7.2344591759468705E-4</v>
      </c>
      <c r="K58" s="1"/>
      <c r="L58" s="1">
        <f t="shared" si="30"/>
        <v>-150</v>
      </c>
      <c r="M58" s="1"/>
      <c r="N58" s="5">
        <f t="shared" si="31"/>
        <v>-1</v>
      </c>
      <c r="O58" s="13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1350</v>
      </c>
      <c r="U58" s="1"/>
      <c r="V58" s="5">
        <f t="shared" si="33"/>
        <v>8.6966044591034128E-4</v>
      </c>
      <c r="W58" s="1"/>
      <c r="X58" s="1">
        <f t="shared" si="34"/>
        <v>-1350</v>
      </c>
      <c r="Y58" s="1"/>
      <c r="Z58" s="5">
        <f t="shared" si="35"/>
        <v>-1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7.2344591759468705E-4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1350</v>
      </c>
      <c r="U59" s="2"/>
      <c r="V59" s="6">
        <f t="shared" si="33"/>
        <v>8.6966044591034128E-4</v>
      </c>
      <c r="W59" s="2"/>
      <c r="X59" s="7">
        <f t="shared" si="34"/>
        <v>-1350</v>
      </c>
      <c r="Y59" s="2"/>
      <c r="Z59" s="6">
        <f t="shared" si="35"/>
        <v>-1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559.04</v>
      </c>
      <c r="E60" s="1"/>
      <c r="F60" s="5">
        <f t="shared" si="28"/>
        <v>6.2001342194195827E-3</v>
      </c>
      <c r="G60" s="1"/>
      <c r="H60" s="1">
        <f>SUM(OSRRefH22_8x_0)</f>
        <v>290</v>
      </c>
      <c r="I60" s="1"/>
      <c r="J60" s="5">
        <f t="shared" si="29"/>
        <v>1.3986621073497282E-3</v>
      </c>
      <c r="K60" s="1"/>
      <c r="L60" s="1">
        <f t="shared" si="30"/>
        <v>269.03999999999996</v>
      </c>
      <c r="M60" s="1"/>
      <c r="N60" s="5">
        <f t="shared" si="31"/>
        <v>0.92772413793103436</v>
      </c>
      <c r="O60" s="13"/>
      <c r="P60" s="1">
        <f>SUM(OSRRefP22_8x_0)</f>
        <v>3170.83</v>
      </c>
      <c r="Q60" s="1"/>
      <c r="R60" s="5">
        <f t="shared" si="32"/>
        <v>3.4551396939599853E-3</v>
      </c>
      <c r="S60" s="1"/>
      <c r="T60" s="1">
        <f>SUM(OSRRefT22_8x_0)</f>
        <v>2900</v>
      </c>
      <c r="U60" s="1"/>
      <c r="V60" s="5">
        <f t="shared" si="33"/>
        <v>1.8681594763999923E-3</v>
      </c>
      <c r="W60" s="1"/>
      <c r="X60" s="1">
        <f t="shared" si="34"/>
        <v>270.82999999999993</v>
      </c>
      <c r="Y60" s="1"/>
      <c r="Z60" s="5">
        <f t="shared" si="35"/>
        <v>9.3389655172413766E-2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559.04</v>
      </c>
      <c r="E61" s="2"/>
      <c r="F61" s="6">
        <f t="shared" si="28"/>
        <v>6.2001342194195827E-3</v>
      </c>
      <c r="G61" s="2"/>
      <c r="H61" s="7">
        <v>290</v>
      </c>
      <c r="I61" s="2"/>
      <c r="J61" s="6">
        <f t="shared" si="29"/>
        <v>1.3986621073497282E-3</v>
      </c>
      <c r="K61" s="2"/>
      <c r="L61" s="7">
        <f t="shared" si="30"/>
        <v>269.03999999999996</v>
      </c>
      <c r="M61" s="2"/>
      <c r="N61" s="6">
        <f t="shared" si="31"/>
        <v>0.92772413793103436</v>
      </c>
      <c r="O61" s="11"/>
      <c r="P61" s="7">
        <v>3170.83</v>
      </c>
      <c r="Q61" s="2"/>
      <c r="R61" s="6">
        <f t="shared" si="32"/>
        <v>3.4551396939599853E-3</v>
      </c>
      <c r="S61" s="2"/>
      <c r="T61" s="7">
        <v>2900</v>
      </c>
      <c r="U61" s="2"/>
      <c r="V61" s="6">
        <f t="shared" si="33"/>
        <v>1.8681594763999923E-3</v>
      </c>
      <c r="W61" s="2"/>
      <c r="X61" s="7">
        <f t="shared" si="34"/>
        <v>270.82999999999993</v>
      </c>
      <c r="Y61" s="2"/>
      <c r="Z61" s="6">
        <f t="shared" si="35"/>
        <v>9.3389655172413766E-2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1.3022026516704367E-3</v>
      </c>
      <c r="K62" s="1"/>
      <c r="L62" s="1">
        <f t="shared" si="30"/>
        <v>-270</v>
      </c>
      <c r="M62" s="1"/>
      <c r="N62" s="5">
        <f t="shared" si="31"/>
        <v>-1</v>
      </c>
      <c r="O62" s="13"/>
      <c r="P62" s="1">
        <f>SUM(OSRRefP22_9x_0)</f>
        <v>1888.78</v>
      </c>
      <c r="Q62" s="1"/>
      <c r="R62" s="5">
        <f t="shared" si="32"/>
        <v>2.0581358039244426E-3</v>
      </c>
      <c r="S62" s="1"/>
      <c r="T62" s="1">
        <f>SUM(OSRRefT22_9x_0)</f>
        <v>4180</v>
      </c>
      <c r="U62" s="1"/>
      <c r="V62" s="5">
        <f t="shared" si="33"/>
        <v>2.692726417707575E-3</v>
      </c>
      <c r="W62" s="1"/>
      <c r="X62" s="1">
        <f t="shared" si="34"/>
        <v>-2291.2200000000003</v>
      </c>
      <c r="Y62" s="1"/>
      <c r="Z62" s="5">
        <f t="shared" si="35"/>
        <v>-0.54813875598086126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270</v>
      </c>
      <c r="I63" s="2"/>
      <c r="J63" s="6">
        <f t="shared" si="29"/>
        <v>1.3022026516704367E-3</v>
      </c>
      <c r="K63" s="2"/>
      <c r="L63" s="7">
        <f t="shared" si="30"/>
        <v>-270</v>
      </c>
      <c r="M63" s="2"/>
      <c r="N63" s="6">
        <f t="shared" si="31"/>
        <v>-1</v>
      </c>
      <c r="O63" s="11"/>
      <c r="P63" s="7">
        <v>1888.78</v>
      </c>
      <c r="Q63" s="2"/>
      <c r="R63" s="6">
        <f t="shared" si="32"/>
        <v>2.0581358039244426E-3</v>
      </c>
      <c r="S63" s="2"/>
      <c r="T63" s="7">
        <v>4180</v>
      </c>
      <c r="U63" s="2"/>
      <c r="V63" s="6">
        <f t="shared" si="33"/>
        <v>2.692726417707575E-3</v>
      </c>
      <c r="W63" s="2"/>
      <c r="X63" s="7">
        <f t="shared" si="34"/>
        <v>-2291.2200000000003</v>
      </c>
      <c r="Y63" s="2"/>
      <c r="Z63" s="6">
        <f t="shared" si="35"/>
        <v>-0.54813875598086126</v>
      </c>
    </row>
    <row r="64" spans="1:26" s="25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6627.19</v>
      </c>
      <c r="E64" s="1"/>
      <c r="F64" s="5">
        <f t="shared" si="28"/>
        <v>7.3500049187169542E-2</v>
      </c>
      <c r="G64" s="1"/>
      <c r="H64" s="1">
        <f>SUM(OSRRefH22_10x_0)</f>
        <v>16587</v>
      </c>
      <c r="I64" s="1"/>
      <c r="J64" s="5">
        <f t="shared" si="29"/>
        <v>7.9998649567620483E-2</v>
      </c>
      <c r="K64" s="1"/>
      <c r="L64" s="1">
        <f t="shared" si="30"/>
        <v>-9959.8100000000013</v>
      </c>
      <c r="M64" s="1"/>
      <c r="N64" s="5">
        <f t="shared" si="31"/>
        <v>-0.60045879303068672</v>
      </c>
      <c r="O64" s="13"/>
      <c r="P64" s="1">
        <f>SUM(OSRRefP22_10x_0)</f>
        <v>63740.44</v>
      </c>
      <c r="Q64" s="1"/>
      <c r="R64" s="5">
        <f t="shared" si="32"/>
        <v>6.9455670709080847E-2</v>
      </c>
      <c r="S64" s="1"/>
      <c r="T64" s="1">
        <f>SUM(OSRRefT22_10x_0)</f>
        <v>126463</v>
      </c>
      <c r="U64" s="1"/>
      <c r="V64" s="5">
        <f t="shared" si="33"/>
        <v>8.1466569608266287E-2</v>
      </c>
      <c r="W64" s="1"/>
      <c r="X64" s="1">
        <f t="shared" si="34"/>
        <v>-62722.559999999998</v>
      </c>
      <c r="Y64" s="1"/>
      <c r="Z64" s="5">
        <f t="shared" si="35"/>
        <v>-0.49597558179072138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7">
        <v>6627.19</v>
      </c>
      <c r="E65" s="2"/>
      <c r="F65" s="6">
        <f t="shared" si="28"/>
        <v>7.3500049187169542E-2</v>
      </c>
      <c r="G65" s="2"/>
      <c r="H65" s="7">
        <v>16587</v>
      </c>
      <c r="I65" s="2"/>
      <c r="J65" s="6">
        <f t="shared" si="29"/>
        <v>7.9998649567620483E-2</v>
      </c>
      <c r="K65" s="2"/>
      <c r="L65" s="7">
        <f t="shared" si="30"/>
        <v>-9959.8100000000013</v>
      </c>
      <c r="M65" s="2"/>
      <c r="N65" s="6">
        <f t="shared" si="31"/>
        <v>-0.60045879303068672</v>
      </c>
      <c r="O65" s="11"/>
      <c r="P65" s="7">
        <v>63740.44</v>
      </c>
      <c r="Q65" s="2"/>
      <c r="R65" s="6">
        <f t="shared" si="32"/>
        <v>6.9455670709080847E-2</v>
      </c>
      <c r="S65" s="2"/>
      <c r="T65" s="7">
        <v>126463</v>
      </c>
      <c r="U65" s="2"/>
      <c r="V65" s="6">
        <f t="shared" si="33"/>
        <v>8.1466569608266287E-2</v>
      </c>
      <c r="W65" s="2"/>
      <c r="X65" s="7">
        <f t="shared" si="34"/>
        <v>-62722.559999999998</v>
      </c>
      <c r="Y65" s="2"/>
      <c r="Z65" s="6">
        <f t="shared" si="35"/>
        <v>-0.49597558179072138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60.89</v>
      </c>
      <c r="E66" s="1"/>
      <c r="F66" s="5">
        <f t="shared" si="28"/>
        <v>6.7531155663361903E-4</v>
      </c>
      <c r="G66" s="1"/>
      <c r="H66" s="1">
        <f>SUM(OSRRefH22_11x_0)</f>
        <v>288</v>
      </c>
      <c r="I66" s="1"/>
      <c r="J66" s="5">
        <f t="shared" si="29"/>
        <v>1.389016161781799E-3</v>
      </c>
      <c r="K66" s="1"/>
      <c r="L66" s="1">
        <f t="shared" si="30"/>
        <v>-227.11</v>
      </c>
      <c r="M66" s="1"/>
      <c r="N66" s="5">
        <f t="shared" si="31"/>
        <v>-0.78857638888888892</v>
      </c>
      <c r="O66" s="13"/>
      <c r="P66" s="1">
        <f>SUM(OSRRefP22_11x_0)</f>
        <v>3499.74</v>
      </c>
      <c r="Q66" s="1"/>
      <c r="R66" s="5">
        <f t="shared" si="32"/>
        <v>3.8135411209492525E-3</v>
      </c>
      <c r="S66" s="1"/>
      <c r="T66" s="1">
        <f>SUM(OSRRefT22_11x_0)</f>
        <v>14463</v>
      </c>
      <c r="U66" s="1"/>
      <c r="V66" s="5">
        <f t="shared" si="33"/>
        <v>9.3169622438527885E-3</v>
      </c>
      <c r="W66" s="1"/>
      <c r="X66" s="1">
        <f t="shared" si="34"/>
        <v>-10963.26</v>
      </c>
      <c r="Y66" s="1"/>
      <c r="Z66" s="5">
        <f t="shared" si="35"/>
        <v>-0.75802115743621656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8500</v>
      </c>
      <c r="U67" s="2"/>
      <c r="V67" s="6">
        <f t="shared" si="33"/>
        <v>5.4756398446206668E-3</v>
      </c>
      <c r="W67" s="2"/>
      <c r="X67" s="7">
        <f t="shared" si="34"/>
        <v>-8500</v>
      </c>
      <c r="Y67" s="2"/>
      <c r="Z67" s="6">
        <f t="shared" si="35"/>
        <v>-1</v>
      </c>
    </row>
    <row r="68" spans="1:26" s="24" customFormat="1" hidden="1" outlineLevel="2" x14ac:dyDescent="0.25">
      <c r="A68" s="26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3083</v>
      </c>
      <c r="U68" s="2"/>
      <c r="V68" s="6">
        <f t="shared" si="33"/>
        <v>1.9860467812900609E-3</v>
      </c>
      <c r="W68" s="2"/>
      <c r="X68" s="7">
        <f t="shared" si="34"/>
        <v>-3083</v>
      </c>
      <c r="Y68" s="2"/>
      <c r="Z68" s="6">
        <f t="shared" si="35"/>
        <v>-1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7">
        <v>12.34</v>
      </c>
      <c r="E69" s="2"/>
      <c r="F69" s="6">
        <f t="shared" si="28"/>
        <v>1.3685900162356478E-4</v>
      </c>
      <c r="G69" s="2"/>
      <c r="H69" s="7">
        <v>38</v>
      </c>
      <c r="I69" s="2"/>
      <c r="J69" s="6">
        <f t="shared" si="29"/>
        <v>1.8327296579065405E-4</v>
      </c>
      <c r="K69" s="2"/>
      <c r="L69" s="7">
        <f t="shared" si="30"/>
        <v>-25.66</v>
      </c>
      <c r="M69" s="2"/>
      <c r="N69" s="6">
        <f t="shared" si="31"/>
        <v>-0.6752631578947369</v>
      </c>
      <c r="O69" s="11"/>
      <c r="P69" s="7">
        <v>1696.17</v>
      </c>
      <c r="Q69" s="2"/>
      <c r="R69" s="6">
        <f t="shared" si="32"/>
        <v>1.8482555970216342E-3</v>
      </c>
      <c r="S69" s="2"/>
      <c r="T69" s="7">
        <v>380</v>
      </c>
      <c r="U69" s="2"/>
      <c r="V69" s="6">
        <f t="shared" si="33"/>
        <v>2.4479331070068863E-4</v>
      </c>
      <c r="W69" s="2"/>
      <c r="X69" s="7">
        <f t="shared" si="34"/>
        <v>1316.17</v>
      </c>
      <c r="Y69" s="2"/>
      <c r="Z69" s="6">
        <f t="shared" si="35"/>
        <v>3.4636052631578949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48.55</v>
      </c>
      <c r="E70" s="2"/>
      <c r="F70" s="6">
        <f t="shared" si="28"/>
        <v>5.3845255501005422E-4</v>
      </c>
      <c r="G70" s="2"/>
      <c r="H70" s="7">
        <v>250</v>
      </c>
      <c r="I70" s="2"/>
      <c r="J70" s="6">
        <f t="shared" si="29"/>
        <v>1.205743195991145E-3</v>
      </c>
      <c r="K70" s="2"/>
      <c r="L70" s="7">
        <f t="shared" si="30"/>
        <v>-201.45</v>
      </c>
      <c r="M70" s="2"/>
      <c r="N70" s="6">
        <f t="shared" si="31"/>
        <v>-0.80579999999999996</v>
      </c>
      <c r="O70" s="11"/>
      <c r="P70" s="7">
        <v>1803.57</v>
      </c>
      <c r="Q70" s="2"/>
      <c r="R70" s="6">
        <f t="shared" si="32"/>
        <v>1.9652855239276185E-3</v>
      </c>
      <c r="S70" s="2"/>
      <c r="T70" s="7">
        <v>2500</v>
      </c>
      <c r="U70" s="2"/>
      <c r="V70" s="6">
        <f t="shared" si="33"/>
        <v>1.6104823072413726E-3</v>
      </c>
      <c r="W70" s="2"/>
      <c r="X70" s="7">
        <f t="shared" si="34"/>
        <v>-696.43000000000006</v>
      </c>
      <c r="Y70" s="2"/>
      <c r="Z70" s="6">
        <f t="shared" si="35"/>
        <v>-0.27857200000000004</v>
      </c>
    </row>
    <row r="71" spans="1:26" s="25" customFormat="1" outlineLevel="1" collapsed="1" x14ac:dyDescent="0.25">
      <c r="A71" s="27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6649.1900000000005</v>
      </c>
      <c r="E71" s="1"/>
      <c r="F71" s="5">
        <f t="shared" ref="F71:F75" si="36">IF(D$12=0,0,D71/D$12)</f>
        <v>7.3744044165752892E-2</v>
      </c>
      <c r="G71" s="1"/>
      <c r="H71" s="1">
        <f>SUM(OSRRefH22_12x_0)</f>
        <v>6521</v>
      </c>
      <c r="I71" s="1"/>
      <c r="J71" s="5">
        <f t="shared" ref="J71:J75" si="37">IF(H$12=0,0,H71/H$12)</f>
        <v>3.1450605524233025E-2</v>
      </c>
      <c r="K71" s="1"/>
      <c r="L71" s="1">
        <f t="shared" ref="L71:L75" si="38">+D71-H71</f>
        <v>128.19000000000051</v>
      </c>
      <c r="M71" s="1"/>
      <c r="N71" s="5">
        <f t="shared" ref="N71:N75" si="39">IF(H71=0,0,L71/H71)</f>
        <v>1.9658027909829859E-2</v>
      </c>
      <c r="O71" s="13"/>
      <c r="P71" s="1">
        <f>SUM(OSRRefP22_12x_0)</f>
        <v>53398.790000000008</v>
      </c>
      <c r="Q71" s="1"/>
      <c r="R71" s="5">
        <f t="shared" ref="R71:R75" si="40">IF(P$12=0,0,P71/P$12)</f>
        <v>5.8186745722234728E-2</v>
      </c>
      <c r="S71" s="1"/>
      <c r="T71" s="1">
        <f>SUM(OSRRefT22_12x_0)</f>
        <v>63410</v>
      </c>
      <c r="U71" s="1"/>
      <c r="V71" s="5">
        <f t="shared" ref="V71:V75" si="41">IF(T$12=0,0,T71/T$12)</f>
        <v>4.0848273240870175E-2</v>
      </c>
      <c r="W71" s="1"/>
      <c r="X71" s="1">
        <f t="shared" ref="X71:X75" si="42">+P71-T71</f>
        <v>-10011.209999999992</v>
      </c>
      <c r="Y71" s="1"/>
      <c r="Z71" s="5">
        <f t="shared" ref="Z71:Z75" si="43">IF(T71=0,0,X71/T71)</f>
        <v>-0.1578806181990221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842.68</v>
      </c>
      <c r="E72" s="2"/>
      <c r="F72" s="6">
        <f t="shared" si="36"/>
        <v>9.3458949342095261E-3</v>
      </c>
      <c r="G72" s="2"/>
      <c r="H72" s="7">
        <v>450</v>
      </c>
      <c r="I72" s="2"/>
      <c r="J72" s="6">
        <f t="shared" si="37"/>
        <v>2.1703377527840608E-3</v>
      </c>
      <c r="K72" s="2"/>
      <c r="L72" s="7">
        <f t="shared" si="38"/>
        <v>392.67999999999995</v>
      </c>
      <c r="M72" s="2"/>
      <c r="N72" s="6">
        <f t="shared" si="39"/>
        <v>0.87262222222222208</v>
      </c>
      <c r="O72" s="11"/>
      <c r="P72" s="7">
        <v>4081.44</v>
      </c>
      <c r="Q72" s="2"/>
      <c r="R72" s="6">
        <f t="shared" si="40"/>
        <v>4.4473987418171398E-3</v>
      </c>
      <c r="S72" s="2"/>
      <c r="T72" s="7">
        <v>4500</v>
      </c>
      <c r="U72" s="2"/>
      <c r="V72" s="6">
        <f t="shared" si="41"/>
        <v>2.8988681530344707E-3</v>
      </c>
      <c r="W72" s="2"/>
      <c r="X72" s="7">
        <f t="shared" si="42"/>
        <v>-418.55999999999995</v>
      </c>
      <c r="Y72" s="2"/>
      <c r="Z72" s="6">
        <f t="shared" si="43"/>
        <v>-9.3013333333333323E-2</v>
      </c>
    </row>
    <row r="73" spans="1:26" s="24" customFormat="1" hidden="1" outlineLevel="2" x14ac:dyDescent="0.25">
      <c r="A73" s="26"/>
      <c r="B73" s="11" t="str">
        <f>CONCATENATE("          ", "6284", " - ", "TRASH REMOVAL EXPENSE")</f>
        <v xml:space="preserve">          6284 - TRASH REMOVAL EXPENSE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>
        <v>282.75</v>
      </c>
      <c r="Q73" s="2"/>
      <c r="R73" s="6">
        <f t="shared" si="40"/>
        <v>3.0810253103041976E-4</v>
      </c>
      <c r="S73" s="2"/>
      <c r="T73" s="7"/>
      <c r="U73" s="2"/>
      <c r="V73" s="6">
        <f t="shared" si="41"/>
        <v>0</v>
      </c>
      <c r="W73" s="2"/>
      <c r="X73" s="7">
        <f t="shared" si="42"/>
        <v>282.75</v>
      </c>
      <c r="Y73" s="2"/>
      <c r="Z73" s="6">
        <f t="shared" si="43"/>
        <v>0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7">
        <v>4468.33</v>
      </c>
      <c r="E74" s="2"/>
      <c r="F74" s="6">
        <f t="shared" si="36"/>
        <v>4.955682193878632E-2</v>
      </c>
      <c r="G74" s="2"/>
      <c r="H74" s="7">
        <v>4571</v>
      </c>
      <c r="I74" s="2"/>
      <c r="J74" s="6">
        <f t="shared" si="37"/>
        <v>2.2045808595502096E-2</v>
      </c>
      <c r="K74" s="2"/>
      <c r="L74" s="7">
        <f t="shared" si="38"/>
        <v>-102.67000000000007</v>
      </c>
      <c r="M74" s="2"/>
      <c r="N74" s="6">
        <f t="shared" si="39"/>
        <v>-2.2461168234522003E-2</v>
      </c>
      <c r="O74" s="11"/>
      <c r="P74" s="7">
        <v>41154.94</v>
      </c>
      <c r="Q74" s="2"/>
      <c r="R74" s="6">
        <f t="shared" si="40"/>
        <v>4.4845061638921532E-2</v>
      </c>
      <c r="S74" s="2"/>
      <c r="T74" s="7">
        <v>43910</v>
      </c>
      <c r="U74" s="2"/>
      <c r="V74" s="6">
        <f t="shared" si="41"/>
        <v>2.8286511244387469E-2</v>
      </c>
      <c r="W74" s="2"/>
      <c r="X74" s="7">
        <f t="shared" si="42"/>
        <v>-2755.0599999999977</v>
      </c>
      <c r="Y74" s="2"/>
      <c r="Z74" s="6">
        <f t="shared" si="43"/>
        <v>-6.274333864723293E-2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7">
        <v>1338.18</v>
      </c>
      <c r="E75" s="2"/>
      <c r="F75" s="6">
        <f t="shared" si="36"/>
        <v>1.4841327292757044E-2</v>
      </c>
      <c r="G75" s="2"/>
      <c r="H75" s="7">
        <v>1500</v>
      </c>
      <c r="I75" s="2"/>
      <c r="J75" s="6">
        <f t="shared" si="37"/>
        <v>7.2344591759468703E-3</v>
      </c>
      <c r="K75" s="2"/>
      <c r="L75" s="7">
        <f t="shared" si="38"/>
        <v>-161.81999999999994</v>
      </c>
      <c r="M75" s="2"/>
      <c r="N75" s="6">
        <f t="shared" si="39"/>
        <v>-0.10787999999999996</v>
      </c>
      <c r="O75" s="11"/>
      <c r="P75" s="7">
        <v>7879.66</v>
      </c>
      <c r="Q75" s="2"/>
      <c r="R75" s="6">
        <f t="shared" si="40"/>
        <v>8.5861828104656316E-3</v>
      </c>
      <c r="S75" s="2"/>
      <c r="T75" s="7">
        <v>15000</v>
      </c>
      <c r="U75" s="2"/>
      <c r="V75" s="6">
        <f t="shared" si="41"/>
        <v>9.6628938434482354E-3</v>
      </c>
      <c r="W75" s="2"/>
      <c r="X75" s="7">
        <f t="shared" si="42"/>
        <v>-7120.34</v>
      </c>
      <c r="Y75" s="2"/>
      <c r="Z75" s="6">
        <f t="shared" si="43"/>
        <v>-0.47468933333333335</v>
      </c>
    </row>
    <row r="76" spans="1:26" s="25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3"/>
      <c r="P76" s="1">
        <f>SUM(OSRRefP22_13x_0)</f>
        <v>795</v>
      </c>
      <c r="Q76" s="1"/>
      <c r="R76" s="5">
        <f t="shared" ref="R76:R87" si="48">IF(P$12=0,0,P76/P$12)</f>
        <v>8.6628297849401835E-4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795</v>
      </c>
      <c r="Q77" s="2"/>
      <c r="R77" s="6">
        <f t="shared" si="48"/>
        <v>8.6628297849401835E-4</v>
      </c>
      <c r="S77" s="2"/>
      <c r="T77" s="7"/>
      <c r="U77" s="2"/>
      <c r="V77" s="6">
        <f t="shared" si="49"/>
        <v>0</v>
      </c>
      <c r="W77" s="2"/>
      <c r="X77" s="7">
        <f t="shared" si="50"/>
        <v>795</v>
      </c>
      <c r="Y77" s="2"/>
      <c r="Z77" s="6">
        <f t="shared" si="51"/>
        <v>0</v>
      </c>
    </row>
    <row r="78" spans="1:26" s="25" customFormat="1" outlineLevel="1" collapsed="1" x14ac:dyDescent="0.25">
      <c r="A78" s="27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13276.58</v>
      </c>
      <c r="E78" s="1"/>
      <c r="F78" s="5">
        <f t="shared" si="44"/>
        <v>0.14724631148909137</v>
      </c>
      <c r="G78" s="1"/>
      <c r="H78" s="1">
        <f>SUM(OSRRefH22_14x_0)</f>
        <v>8098</v>
      </c>
      <c r="I78" s="1"/>
      <c r="J78" s="5">
        <f t="shared" si="45"/>
        <v>3.9056433604545172E-2</v>
      </c>
      <c r="K78" s="1"/>
      <c r="L78" s="1">
        <f t="shared" si="46"/>
        <v>5178.58</v>
      </c>
      <c r="M78" s="1"/>
      <c r="N78" s="5">
        <f t="shared" si="47"/>
        <v>0.63948876265744625</v>
      </c>
      <c r="O78" s="13"/>
      <c r="P78" s="1">
        <f>SUM(OSRRefP22_14x_0)</f>
        <v>118175.93</v>
      </c>
      <c r="Q78" s="1"/>
      <c r="R78" s="5">
        <f t="shared" si="48"/>
        <v>0.12877207122855425</v>
      </c>
      <c r="S78" s="1"/>
      <c r="T78" s="1">
        <f>SUM(OSRRefT22_14x_0)</f>
        <v>73482</v>
      </c>
      <c r="U78" s="1"/>
      <c r="V78" s="5">
        <f t="shared" si="49"/>
        <v>4.733658436028422E-2</v>
      </c>
      <c r="W78" s="1"/>
      <c r="X78" s="1">
        <f t="shared" si="50"/>
        <v>44693.929999999993</v>
      </c>
      <c r="Y78" s="1"/>
      <c r="Z78" s="5">
        <f t="shared" si="51"/>
        <v>0.60822963446830502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7">
        <v>2921.2</v>
      </c>
      <c r="E79" s="2"/>
      <c r="F79" s="6">
        <f t="shared" si="44"/>
        <v>3.2398096883529771E-2</v>
      </c>
      <c r="G79" s="2"/>
      <c r="H79" s="7">
        <v>4000</v>
      </c>
      <c r="I79" s="2"/>
      <c r="J79" s="6">
        <f t="shared" si="45"/>
        <v>1.929189113585832E-2</v>
      </c>
      <c r="K79" s="2"/>
      <c r="L79" s="7">
        <f t="shared" si="46"/>
        <v>-1078.8000000000002</v>
      </c>
      <c r="M79" s="2"/>
      <c r="N79" s="6">
        <f t="shared" si="47"/>
        <v>-0.26970000000000005</v>
      </c>
      <c r="O79" s="11"/>
      <c r="P79" s="7">
        <v>50176.47</v>
      </c>
      <c r="Q79" s="2"/>
      <c r="R79" s="6">
        <f t="shared" si="48"/>
        <v>5.4675499222535548E-2</v>
      </c>
      <c r="S79" s="2"/>
      <c r="T79" s="7">
        <v>36000</v>
      </c>
      <c r="U79" s="2"/>
      <c r="V79" s="6">
        <f t="shared" si="49"/>
        <v>2.3190945224275766E-2</v>
      </c>
      <c r="W79" s="2"/>
      <c r="X79" s="7">
        <f t="shared" si="50"/>
        <v>14176.470000000001</v>
      </c>
      <c r="Y79" s="2"/>
      <c r="Z79" s="6">
        <f t="shared" si="51"/>
        <v>0.39379083333333337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>
        <v>1902.43</v>
      </c>
      <c r="E80" s="2"/>
      <c r="F80" s="6">
        <f t="shared" si="44"/>
        <v>2.1099243959377501E-2</v>
      </c>
      <c r="G80" s="2"/>
      <c r="H80" s="7">
        <v>3000</v>
      </c>
      <c r="I80" s="2"/>
      <c r="J80" s="6">
        <f t="shared" si="45"/>
        <v>1.4468918351893741E-2</v>
      </c>
      <c r="K80" s="2"/>
      <c r="L80" s="7">
        <f t="shared" si="46"/>
        <v>-1097.57</v>
      </c>
      <c r="M80" s="2"/>
      <c r="N80" s="6">
        <f t="shared" si="47"/>
        <v>-0.36585666666666666</v>
      </c>
      <c r="O80" s="11"/>
      <c r="P80" s="7">
        <v>17051.79</v>
      </c>
      <c r="Q80" s="2"/>
      <c r="R80" s="6">
        <f t="shared" si="48"/>
        <v>1.8580723811137758E-2</v>
      </c>
      <c r="S80" s="2"/>
      <c r="T80" s="7">
        <v>27000</v>
      </c>
      <c r="U80" s="2"/>
      <c r="V80" s="6">
        <f t="shared" si="49"/>
        <v>1.7393208918206823E-2</v>
      </c>
      <c r="W80" s="2"/>
      <c r="X80" s="7">
        <f t="shared" si="50"/>
        <v>-9948.2099999999991</v>
      </c>
      <c r="Y80" s="2"/>
      <c r="Z80" s="6">
        <f t="shared" si="51"/>
        <v>-0.36845222222222218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>
        <v>160.30000000000001</v>
      </c>
      <c r="E81" s="2"/>
      <c r="F81" s="6">
        <f t="shared" si="44"/>
        <v>1.7778361394049785E-3</v>
      </c>
      <c r="G81" s="2"/>
      <c r="H81" s="7">
        <v>500</v>
      </c>
      <c r="I81" s="2"/>
      <c r="J81" s="6">
        <f t="shared" si="45"/>
        <v>2.41148639198229E-3</v>
      </c>
      <c r="K81" s="2"/>
      <c r="L81" s="7">
        <f t="shared" si="46"/>
        <v>-339.7</v>
      </c>
      <c r="M81" s="2"/>
      <c r="N81" s="6">
        <f t="shared" si="47"/>
        <v>-0.6794</v>
      </c>
      <c r="O81" s="11"/>
      <c r="P81" s="7">
        <v>6216.31</v>
      </c>
      <c r="Q81" s="2"/>
      <c r="R81" s="6">
        <f t="shared" si="48"/>
        <v>6.7736899899901283E-3</v>
      </c>
      <c r="S81" s="2"/>
      <c r="T81" s="7">
        <v>4500</v>
      </c>
      <c r="U81" s="2"/>
      <c r="V81" s="6">
        <f t="shared" si="49"/>
        <v>2.8988681530344707E-3</v>
      </c>
      <c r="W81" s="2"/>
      <c r="X81" s="7">
        <f t="shared" si="50"/>
        <v>1716.3100000000004</v>
      </c>
      <c r="Y81" s="2"/>
      <c r="Z81" s="6">
        <f t="shared" si="51"/>
        <v>0.38140222222222231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>
        <v>1258.28</v>
      </c>
      <c r="E82" s="2"/>
      <c r="F82" s="6">
        <f t="shared" si="44"/>
        <v>1.3955181893265728E-2</v>
      </c>
      <c r="G82" s="2"/>
      <c r="H82" s="7">
        <v>150</v>
      </c>
      <c r="I82" s="2"/>
      <c r="J82" s="6">
        <f t="shared" si="45"/>
        <v>7.2344591759468705E-4</v>
      </c>
      <c r="K82" s="2"/>
      <c r="L82" s="7">
        <f t="shared" si="46"/>
        <v>1108.28</v>
      </c>
      <c r="M82" s="2"/>
      <c r="N82" s="6">
        <f t="shared" si="47"/>
        <v>7.3885333333333332</v>
      </c>
      <c r="O82" s="11"/>
      <c r="P82" s="7">
        <v>7864.4</v>
      </c>
      <c r="Q82" s="2"/>
      <c r="R82" s="6">
        <f t="shared" si="48"/>
        <v>8.5695545359350412E-3</v>
      </c>
      <c r="S82" s="2"/>
      <c r="T82" s="7">
        <v>1500</v>
      </c>
      <c r="U82" s="2"/>
      <c r="V82" s="6">
        <f t="shared" si="49"/>
        <v>9.662893843448236E-4</v>
      </c>
      <c r="W82" s="2"/>
      <c r="X82" s="7">
        <f t="shared" si="50"/>
        <v>6364.4</v>
      </c>
      <c r="Y82" s="2"/>
      <c r="Z82" s="6">
        <f t="shared" si="51"/>
        <v>4.2429333333333332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>
        <v>7034.37</v>
      </c>
      <c r="E83" s="2"/>
      <c r="F83" s="6">
        <f t="shared" si="44"/>
        <v>7.8015952613513406E-2</v>
      </c>
      <c r="G83" s="2"/>
      <c r="H83" s="7"/>
      <c r="I83" s="2"/>
      <c r="J83" s="6">
        <f t="shared" si="45"/>
        <v>0</v>
      </c>
      <c r="K83" s="2"/>
      <c r="L83" s="7">
        <f t="shared" si="46"/>
        <v>7034.37</v>
      </c>
      <c r="M83" s="2"/>
      <c r="N83" s="6">
        <f t="shared" si="47"/>
        <v>0</v>
      </c>
      <c r="O83" s="11"/>
      <c r="P83" s="7">
        <v>32366.37</v>
      </c>
      <c r="Q83" s="2"/>
      <c r="R83" s="6">
        <f t="shared" si="48"/>
        <v>3.526847220960936E-2</v>
      </c>
      <c r="S83" s="2"/>
      <c r="T83" s="7"/>
      <c r="U83" s="2"/>
      <c r="V83" s="6">
        <f t="shared" si="49"/>
        <v>0</v>
      </c>
      <c r="W83" s="2"/>
      <c r="X83" s="7">
        <f t="shared" si="50"/>
        <v>32366.37</v>
      </c>
      <c r="Y83" s="2"/>
      <c r="Z83" s="6">
        <f t="shared" si="51"/>
        <v>0</v>
      </c>
    </row>
    <row r="84" spans="1:26" s="24" customFormat="1" hidden="1" outlineLevel="2" x14ac:dyDescent="0.25">
      <c r="A84" s="26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4"/>
        <v>0</v>
      </c>
      <c r="G84" s="2"/>
      <c r="H84" s="7">
        <v>80</v>
      </c>
      <c r="I84" s="2"/>
      <c r="J84" s="6">
        <f t="shared" si="45"/>
        <v>3.8583782271716641E-4</v>
      </c>
      <c r="K84" s="2"/>
      <c r="L84" s="7">
        <f t="shared" si="46"/>
        <v>-80</v>
      </c>
      <c r="M84" s="2"/>
      <c r="N84" s="6">
        <f t="shared" si="47"/>
        <v>-1</v>
      </c>
      <c r="O84" s="11"/>
      <c r="P84" s="7"/>
      <c r="Q84" s="2"/>
      <c r="R84" s="6">
        <f t="shared" si="48"/>
        <v>0</v>
      </c>
      <c r="S84" s="2"/>
      <c r="T84" s="7">
        <v>320</v>
      </c>
      <c r="U84" s="2"/>
      <c r="V84" s="6">
        <f t="shared" si="49"/>
        <v>2.0614173532689569E-4</v>
      </c>
      <c r="W84" s="2"/>
      <c r="X84" s="7">
        <f t="shared" si="50"/>
        <v>-320</v>
      </c>
      <c r="Y84" s="2"/>
      <c r="Z84" s="6">
        <f t="shared" si="51"/>
        <v>-1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500</v>
      </c>
      <c r="U85" s="2"/>
      <c r="V85" s="6">
        <f t="shared" si="49"/>
        <v>3.2209646144827452E-4</v>
      </c>
      <c r="W85" s="2"/>
      <c r="X85" s="7">
        <f t="shared" si="50"/>
        <v>-500</v>
      </c>
      <c r="Y85" s="2"/>
      <c r="Z85" s="6">
        <f t="shared" si="51"/>
        <v>-1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>
        <v>18</v>
      </c>
      <c r="I86" s="2"/>
      <c r="J86" s="6">
        <f t="shared" si="45"/>
        <v>8.6813510111362436E-5</v>
      </c>
      <c r="K86" s="2"/>
      <c r="L86" s="7">
        <f t="shared" si="46"/>
        <v>-18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162</v>
      </c>
      <c r="U86" s="2"/>
      <c r="V86" s="6">
        <f t="shared" si="49"/>
        <v>1.0435925350924095E-4</v>
      </c>
      <c r="W86" s="2"/>
      <c r="X86" s="7">
        <f t="shared" si="50"/>
        <v>-162</v>
      </c>
      <c r="Y86" s="2"/>
      <c r="Z86" s="6">
        <f t="shared" si="51"/>
        <v>-1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350</v>
      </c>
      <c r="I87" s="2"/>
      <c r="J87" s="6">
        <f t="shared" si="45"/>
        <v>1.688040474387603E-3</v>
      </c>
      <c r="K87" s="2"/>
      <c r="L87" s="7">
        <f t="shared" si="46"/>
        <v>-350</v>
      </c>
      <c r="M87" s="2"/>
      <c r="N87" s="6">
        <f t="shared" si="47"/>
        <v>-1</v>
      </c>
      <c r="O87" s="11"/>
      <c r="P87" s="7">
        <v>4500.59</v>
      </c>
      <c r="Q87" s="2"/>
      <c r="R87" s="6">
        <f t="shared" si="48"/>
        <v>4.9041314593464081E-3</v>
      </c>
      <c r="S87" s="2"/>
      <c r="T87" s="7">
        <v>3500</v>
      </c>
      <c r="U87" s="2"/>
      <c r="V87" s="6">
        <f t="shared" si="49"/>
        <v>2.2546752301379216E-3</v>
      </c>
      <c r="W87" s="2"/>
      <c r="X87" s="7">
        <f t="shared" si="50"/>
        <v>1000.5900000000001</v>
      </c>
      <c r="Y87" s="2"/>
      <c r="Z87" s="6">
        <f t="shared" si="51"/>
        <v>0.28588285714285716</v>
      </c>
    </row>
    <row r="88" spans="1:26" s="25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159</v>
      </c>
      <c r="E88" s="1"/>
      <c r="F88" s="5">
        <f t="shared" ref="F88:F90" si="52">IF(D$12=0,0,D88/D$12)</f>
        <v>1.7634182543068719E-3</v>
      </c>
      <c r="G88" s="1"/>
      <c r="H88" s="1">
        <f>SUM(OSRRefH22_15x_0)</f>
        <v>310</v>
      </c>
      <c r="I88" s="1"/>
      <c r="J88" s="5">
        <f t="shared" ref="J88:J90" si="53">IF(H$12=0,0,H88/H$12)</f>
        <v>1.4951215630290198E-3</v>
      </c>
      <c r="K88" s="1"/>
      <c r="L88" s="1">
        <f t="shared" ref="L88:L90" si="54">+D88-H88</f>
        <v>-151</v>
      </c>
      <c r="M88" s="1"/>
      <c r="N88" s="5">
        <f t="shared" ref="N88:N90" si="55">IF(H88=0,0,L88/H88)</f>
        <v>-0.48709677419354841</v>
      </c>
      <c r="O88" s="13"/>
      <c r="P88" s="1">
        <f>SUM(OSRRefP22_15x_0)</f>
        <v>2341</v>
      </c>
      <c r="Q88" s="1"/>
      <c r="R88" s="5">
        <f t="shared" ref="R88:R90" si="56">IF(P$12=0,0,P88/P$12)</f>
        <v>2.5509037140308138E-3</v>
      </c>
      <c r="S88" s="1"/>
      <c r="T88" s="1">
        <f>SUM(OSRRefT22_15x_0)</f>
        <v>3100</v>
      </c>
      <c r="U88" s="1"/>
      <c r="V88" s="5">
        <f t="shared" ref="V88:V90" si="57">IF(T$12=0,0,T88/T$12)</f>
        <v>1.9969980609793022E-3</v>
      </c>
      <c r="W88" s="1"/>
      <c r="X88" s="1">
        <f t="shared" ref="X88:X90" si="58">+P88-T88</f>
        <v>-759</v>
      </c>
      <c r="Y88" s="1"/>
      <c r="Z88" s="5">
        <f t="shared" ref="Z88:Z90" si="59">IF(T88=0,0,X88/T88)</f>
        <v>-0.24483870967741936</v>
      </c>
    </row>
    <row r="89" spans="1:26" s="24" customFormat="1" hidden="1" outlineLevel="2" x14ac:dyDescent="0.25">
      <c r="A89" s="26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310</v>
      </c>
      <c r="I89" s="2"/>
      <c r="J89" s="6">
        <f t="shared" si="53"/>
        <v>1.4951215630290198E-3</v>
      </c>
      <c r="K89" s="2"/>
      <c r="L89" s="7">
        <f t="shared" si="54"/>
        <v>-310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3100</v>
      </c>
      <c r="U89" s="2"/>
      <c r="V89" s="6">
        <f t="shared" si="57"/>
        <v>1.9969980609793022E-3</v>
      </c>
      <c r="W89" s="2"/>
      <c r="X89" s="7">
        <f t="shared" si="58"/>
        <v>-3100</v>
      </c>
      <c r="Y89" s="2"/>
      <c r="Z89" s="6">
        <f t="shared" si="59"/>
        <v>-1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7">
        <v>159</v>
      </c>
      <c r="E90" s="2"/>
      <c r="F90" s="6">
        <f t="shared" si="52"/>
        <v>1.7634182543068719E-3</v>
      </c>
      <c r="G90" s="2"/>
      <c r="H90" s="7"/>
      <c r="I90" s="2"/>
      <c r="J90" s="6">
        <f t="shared" si="53"/>
        <v>0</v>
      </c>
      <c r="K90" s="2"/>
      <c r="L90" s="7">
        <f t="shared" si="54"/>
        <v>159</v>
      </c>
      <c r="M90" s="2"/>
      <c r="N90" s="6">
        <f t="shared" si="55"/>
        <v>0</v>
      </c>
      <c r="O90" s="11"/>
      <c r="P90" s="7">
        <v>2341</v>
      </c>
      <c r="Q90" s="2"/>
      <c r="R90" s="6">
        <f t="shared" si="56"/>
        <v>2.5509037140308138E-3</v>
      </c>
      <c r="S90" s="2"/>
      <c r="T90" s="7"/>
      <c r="U90" s="2"/>
      <c r="V90" s="6">
        <f t="shared" si="57"/>
        <v>0</v>
      </c>
      <c r="W90" s="2"/>
      <c r="X90" s="7">
        <f t="shared" si="58"/>
        <v>2341</v>
      </c>
      <c r="Y90" s="2"/>
      <c r="Z90" s="6">
        <f t="shared" si="59"/>
        <v>0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SUM(OSRRefD22_16x_0)</f>
        <v>0</v>
      </c>
      <c r="E91" s="1"/>
      <c r="F91" s="5">
        <f t="shared" ref="F91:F94" si="60">IF(D$12=0,0,D91/D$12)</f>
        <v>0</v>
      </c>
      <c r="G91" s="1"/>
      <c r="H91" s="1">
        <f>SUM(OSRRefH22_16x_0)</f>
        <v>350</v>
      </c>
      <c r="I91" s="1"/>
      <c r="J91" s="5">
        <f t="shared" ref="J91:J94" si="61">IF(H$12=0,0,H91/H$12)</f>
        <v>1.688040474387603E-3</v>
      </c>
      <c r="K91" s="1"/>
      <c r="L91" s="1">
        <f t="shared" ref="L91:L94" si="62">+D91-H91</f>
        <v>-350</v>
      </c>
      <c r="M91" s="1"/>
      <c r="N91" s="5">
        <f t="shared" ref="N91:N94" si="63">IF(H91=0,0,L91/H91)</f>
        <v>-1</v>
      </c>
      <c r="O91" s="13"/>
      <c r="P91" s="1">
        <f>SUM(OSRRefP22_16x_0)</f>
        <v>735</v>
      </c>
      <c r="Q91" s="1"/>
      <c r="R91" s="5">
        <f t="shared" ref="R91:R94" si="64">IF(P$12=0,0,P91/P$12)</f>
        <v>8.0090313106050755E-4</v>
      </c>
      <c r="S91" s="1"/>
      <c r="T91" s="1">
        <f>SUM(OSRRefT22_16x_0)</f>
        <v>3150</v>
      </c>
      <c r="U91" s="1"/>
      <c r="V91" s="5">
        <f t="shared" ref="V91:V94" si="65">IF(T$12=0,0,T91/T$12)</f>
        <v>2.0292077071241295E-3</v>
      </c>
      <c r="W91" s="1"/>
      <c r="X91" s="1">
        <f t="shared" ref="X91:X94" si="66">+P91-T91</f>
        <v>-2415</v>
      </c>
      <c r="Y91" s="1"/>
      <c r="Z91" s="5">
        <f t="shared" ref="Z91:Z94" si="67">IF(T91=0,0,X91/T91)</f>
        <v>-0.76666666666666672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0"/>
        <v>0</v>
      </c>
      <c r="G92" s="2"/>
      <c r="H92" s="7">
        <v>350</v>
      </c>
      <c r="I92" s="2"/>
      <c r="J92" s="6">
        <f t="shared" si="61"/>
        <v>1.688040474387603E-3</v>
      </c>
      <c r="K92" s="2"/>
      <c r="L92" s="7">
        <f t="shared" si="62"/>
        <v>-350</v>
      </c>
      <c r="M92" s="2"/>
      <c r="N92" s="6">
        <f t="shared" si="63"/>
        <v>-1</v>
      </c>
      <c r="O92" s="11"/>
      <c r="P92" s="7">
        <v>735</v>
      </c>
      <c r="Q92" s="2"/>
      <c r="R92" s="6">
        <f t="shared" si="64"/>
        <v>8.0090313106050755E-4</v>
      </c>
      <c r="S92" s="2"/>
      <c r="T92" s="7">
        <v>3150</v>
      </c>
      <c r="U92" s="2"/>
      <c r="V92" s="6">
        <f t="shared" si="65"/>
        <v>2.0292077071241295E-3</v>
      </c>
      <c r="W92" s="2"/>
      <c r="X92" s="7">
        <f t="shared" si="66"/>
        <v>-2415</v>
      </c>
      <c r="Y92" s="2"/>
      <c r="Z92" s="6">
        <f t="shared" si="67"/>
        <v>-0.76666666666666672</v>
      </c>
    </row>
    <row r="93" spans="1:26" s="25" customFormat="1" outlineLevel="1" collapsed="1" x14ac:dyDescent="0.25">
      <c r="A93" s="27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SUM(OSRRefD22_17x_0)</f>
        <v>160.30000000000001</v>
      </c>
      <c r="E93" s="1"/>
      <c r="F93" s="5">
        <f t="shared" si="60"/>
        <v>1.7778361394049785E-3</v>
      </c>
      <c r="G93" s="1"/>
      <c r="H93" s="1">
        <f>SUM(OSRRefH22_17x_0)</f>
        <v>0</v>
      </c>
      <c r="I93" s="1"/>
      <c r="J93" s="5">
        <f t="shared" si="61"/>
        <v>0</v>
      </c>
      <c r="K93" s="1"/>
      <c r="L93" s="1">
        <f t="shared" si="62"/>
        <v>160.30000000000001</v>
      </c>
      <c r="M93" s="1"/>
      <c r="N93" s="5">
        <f t="shared" si="63"/>
        <v>0</v>
      </c>
      <c r="O93" s="13"/>
      <c r="P93" s="1">
        <f>SUM(OSRRefP22_17x_0)</f>
        <v>160.30000000000001</v>
      </c>
      <c r="Q93" s="1"/>
      <c r="R93" s="5">
        <f t="shared" si="64"/>
        <v>1.746731590598631E-4</v>
      </c>
      <c r="S93" s="1"/>
      <c r="T93" s="1">
        <f>SUM(OSRRefT22_17x_0)</f>
        <v>0</v>
      </c>
      <c r="U93" s="1"/>
      <c r="V93" s="5">
        <f t="shared" si="65"/>
        <v>0</v>
      </c>
      <c r="W93" s="1"/>
      <c r="X93" s="1">
        <f t="shared" si="66"/>
        <v>160.30000000000001</v>
      </c>
      <c r="Y93" s="1"/>
      <c r="Z93" s="5">
        <f t="shared" si="67"/>
        <v>0</v>
      </c>
    </row>
    <row r="94" spans="1:26" s="24" customFormat="1" hidden="1" outlineLevel="2" x14ac:dyDescent="0.25">
      <c r="A94" s="26"/>
      <c r="B94" s="11" t="str">
        <f>CONCATENATE("          ", "6294", " - ", "TRAVEL OPERATIONAL")</f>
        <v xml:space="preserve">          6294 - TRAVEL OPERATIONAL</v>
      </c>
      <c r="C94" s="11"/>
      <c r="D94" s="7">
        <v>160.30000000000001</v>
      </c>
      <c r="E94" s="2"/>
      <c r="F94" s="6">
        <f t="shared" si="60"/>
        <v>1.7778361394049785E-3</v>
      </c>
      <c r="G94" s="2"/>
      <c r="H94" s="7"/>
      <c r="I94" s="2"/>
      <c r="J94" s="6">
        <f t="shared" si="61"/>
        <v>0</v>
      </c>
      <c r="K94" s="2"/>
      <c r="L94" s="7">
        <f t="shared" si="62"/>
        <v>160.30000000000001</v>
      </c>
      <c r="M94" s="2"/>
      <c r="N94" s="6">
        <f t="shared" si="63"/>
        <v>0</v>
      </c>
      <c r="O94" s="11"/>
      <c r="P94" s="7">
        <v>160.30000000000001</v>
      </c>
      <c r="Q94" s="2"/>
      <c r="R94" s="6">
        <f t="shared" si="64"/>
        <v>1.746731590598631E-4</v>
      </c>
      <c r="S94" s="2"/>
      <c r="T94" s="7"/>
      <c r="U94" s="2"/>
      <c r="V94" s="6">
        <f t="shared" si="65"/>
        <v>0</v>
      </c>
      <c r="W94" s="2"/>
      <c r="X94" s="7">
        <f t="shared" si="66"/>
        <v>160.30000000000001</v>
      </c>
      <c r="Y94" s="2"/>
      <c r="Z94" s="6">
        <f t="shared" si="67"/>
        <v>0</v>
      </c>
    </row>
    <row r="95" spans="1:26" s="61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9" t="s">
        <v>293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8" t="s">
        <v>277</v>
      </c>
      <c r="C98" s="28"/>
      <c r="D98" s="21">
        <f>+D23-D25+D96</f>
        <v>-89256.559999999983</v>
      </c>
      <c r="E98" s="14"/>
      <c r="F98" s="20">
        <f>IF(D$12=0,0,D98/D$12)</f>
        <v>-0.98991602025557579</v>
      </c>
      <c r="G98" s="14"/>
      <c r="H98" s="21">
        <f>+H23-H25+H96</f>
        <v>4888.0301960384822</v>
      </c>
      <c r="I98" s="14"/>
      <c r="J98" s="20">
        <f>IF(H$12=0,0,H98/H$12)</f>
        <v>2.3574836602690649E-2</v>
      </c>
      <c r="K98" s="16"/>
      <c r="L98" s="21">
        <f>+D98-H98</f>
        <v>-94144.590196038465</v>
      </c>
      <c r="M98" s="16"/>
      <c r="N98" s="20">
        <f>IF(H98=0,0,L98/H98)</f>
        <v>-19.260230894714645</v>
      </c>
      <c r="O98" s="29"/>
      <c r="P98" s="21">
        <f>+P23-P25+P96</f>
        <v>-641654.14000000036</v>
      </c>
      <c r="Q98" s="14"/>
      <c r="R98" s="20">
        <f>IF(P$12=0,0,P98/P$12)</f>
        <v>-0.69918749630467691</v>
      </c>
      <c r="S98" s="14"/>
      <c r="T98" s="21">
        <f>+T23-T25+T96</f>
        <v>-149070.13119571097</v>
      </c>
      <c r="U98" s="14"/>
      <c r="V98" s="20">
        <f>IF(T$12=0,0,T98/T$12)</f>
        <v>-9.6029923531537095E-2</v>
      </c>
      <c r="W98" s="16"/>
      <c r="X98" s="21">
        <f>+P98-T98</f>
        <v>-492584.00880428939</v>
      </c>
      <c r="Y98" s="16"/>
      <c r="Z98" s="20">
        <f>IF(T98=0,0,X98/T98)</f>
        <v>3.3043776432824523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128</v>
      </c>
      <c r="C100" s="10"/>
      <c r="D100" s="4">
        <v>21438.82</v>
      </c>
      <c r="E100" s="4"/>
      <c r="F100" s="12">
        <f>IF(D$12=0,0,D100/D$12)</f>
        <v>0.23777111030691353</v>
      </c>
      <c r="G100" s="4"/>
      <c r="H100" s="4">
        <v>43352</v>
      </c>
      <c r="I100" s="4"/>
      <c r="J100" s="12">
        <f>IF(H$12=0,0,H100/H$12)</f>
        <v>0.20908551613043247</v>
      </c>
      <c r="K100" s="4"/>
      <c r="L100" s="4">
        <f>+D100-H100</f>
        <v>-21913.18</v>
      </c>
      <c r="M100" s="4"/>
      <c r="N100" s="12">
        <f>IF(H100=0,0,L100/H100)</f>
        <v>-0.50547102786491971</v>
      </c>
      <c r="O100" s="10"/>
      <c r="P100" s="4">
        <v>191989.48</v>
      </c>
      <c r="Q100" s="4"/>
      <c r="R100" s="12">
        <f>IF(P$12=0,0,P100/P$12)</f>
        <v>0.2092040485206513</v>
      </c>
      <c r="S100" s="4"/>
      <c r="T100" s="4">
        <v>281200</v>
      </c>
      <c r="U100" s="4"/>
      <c r="V100" s="12">
        <f>IF(T$12=0,0,T100/T$12)</f>
        <v>0.18114704991850961</v>
      </c>
      <c r="W100" s="4"/>
      <c r="X100" s="4">
        <f>+P100-T100</f>
        <v>-89210.51999999999</v>
      </c>
      <c r="Y100" s="4"/>
      <c r="Z100" s="12">
        <f>IF(T100=0,0,X100/T100)</f>
        <v>-0.31724935988620195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126</v>
      </c>
      <c r="C102" s="28"/>
      <c r="D102" s="31">
        <f>+D98-D100</f>
        <v>-110695.37999999998</v>
      </c>
      <c r="E102" s="14"/>
      <c r="F102" s="33">
        <f>IF(D$12=0,0,D102/D$12)</f>
        <v>-1.2276871305624892</v>
      </c>
      <c r="G102" s="14"/>
      <c r="H102" s="31">
        <f>+H98-H100</f>
        <v>-38463.969803961518</v>
      </c>
      <c r="I102" s="14"/>
      <c r="J102" s="33">
        <f>IF(H$12=0,0,H102/H$12)</f>
        <v>-0.18551067952774183</v>
      </c>
      <c r="K102" s="16"/>
      <c r="L102" s="31">
        <f>D102-H102</f>
        <v>-72231.410196038458</v>
      </c>
      <c r="M102" s="16"/>
      <c r="N102" s="33">
        <f>IF(H102=0,0,L102/H102)</f>
        <v>1.8778979539599974</v>
      </c>
      <c r="O102" s="29"/>
      <c r="P102" s="31">
        <f>+P98-P100</f>
        <v>-833643.62000000034</v>
      </c>
      <c r="Q102" s="14"/>
      <c r="R102" s="33">
        <f>IF(P$12=0,0,P102/P$12)</f>
        <v>-0.90839154482532825</v>
      </c>
      <c r="S102" s="14"/>
      <c r="T102" s="31">
        <f>+T98-T100</f>
        <v>-430270.13119571097</v>
      </c>
      <c r="U102" s="14"/>
      <c r="V102" s="33">
        <f>IF(T$12=0,0,T102/T$12)</f>
        <v>-0.27717697345004666</v>
      </c>
      <c r="W102" s="16"/>
      <c r="X102" s="31">
        <f>P102-T102</f>
        <v>-403373.48880428937</v>
      </c>
      <c r="Y102" s="16"/>
      <c r="Z102" s="33">
        <f>IF(T102=0,0,X102/T102)</f>
        <v>0.9374889390609652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294</v>
      </c>
      <c r="C105" s="28"/>
      <c r="D105" s="34">
        <f>SUM(D102:D104)</f>
        <v>-110695.37999999998</v>
      </c>
      <c r="E105" s="14"/>
      <c r="F105" s="35">
        <f>IF(D$12=0,0,D105/D$12)</f>
        <v>-1.2276871305624892</v>
      </c>
      <c r="G105" s="14"/>
      <c r="H105" s="34">
        <f>SUM(H102:H104)</f>
        <v>-38463.969803961518</v>
      </c>
      <c r="I105" s="14"/>
      <c r="J105" s="35">
        <f>IF(H$12=0,0,H105/H$12)</f>
        <v>-0.18551067952774183</v>
      </c>
      <c r="K105" s="16"/>
      <c r="L105" s="34">
        <f>+D105-H105</f>
        <v>-72231.410196038458</v>
      </c>
      <c r="M105" s="16"/>
      <c r="N105" s="35">
        <f>IF(H105=0,0,L105/H105)</f>
        <v>1.8778979539599974</v>
      </c>
      <c r="O105" s="29"/>
      <c r="P105" s="34">
        <f>SUM(P102:P104)</f>
        <v>-833643.62000000034</v>
      </c>
      <c r="Q105" s="14"/>
      <c r="R105" s="35">
        <f>IF(P$12=0,0,P105/P$12)</f>
        <v>-0.90839154482532825</v>
      </c>
      <c r="S105" s="14"/>
      <c r="T105" s="34">
        <f>SUM(T102:T104)</f>
        <v>-430270.13119571097</v>
      </c>
      <c r="U105" s="14"/>
      <c r="V105" s="35">
        <f>IF(T$12=0,0,T105/T$12)</f>
        <v>-0.27717697345004666</v>
      </c>
      <c r="W105" s="16"/>
      <c r="X105" s="34">
        <f>+P105-T105</f>
        <v>-403373.48880428937</v>
      </c>
      <c r="Y105" s="16"/>
      <c r="Z105" s="35">
        <f>IF(T105=0,0,X105/T105)</f>
        <v>0.9374889390609652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2">
        <v>44330.0058283912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6" t="s">
        <v>56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5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64324</v>
      </c>
      <c r="I12" s="4"/>
      <c r="J12" s="12"/>
      <c r="K12" s="4"/>
      <c r="L12" s="4">
        <f t="shared" ref="L12:L14" si="0">+D12-H12</f>
        <v>-64324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520139</v>
      </c>
      <c r="U12" s="4"/>
      <c r="V12" s="12"/>
      <c r="W12" s="4"/>
      <c r="X12" s="4">
        <f t="shared" ref="X12:X14" si="2">+P12-T12</f>
        <v>-520139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64324</v>
      </c>
      <c r="I13" s="2"/>
      <c r="J13" s="19"/>
      <c r="K13" s="2"/>
      <c r="L13" s="2">
        <f t="shared" si="0"/>
        <v>-64324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520139</v>
      </c>
      <c r="U13" s="2"/>
      <c r="V13" s="19"/>
      <c r="W13" s="2"/>
      <c r="X13" s="2">
        <f t="shared" si="2"/>
        <v>-520139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/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18011</v>
      </c>
      <c r="I16" s="4"/>
      <c r="J16" s="12">
        <f t="shared" ref="J16:J17" si="7">IF(H$12=0,0,H16/H$12)</f>
        <v>0.2800043529631242</v>
      </c>
      <c r="K16" s="4"/>
      <c r="L16" s="4">
        <f t="shared" ref="L16:L17" si="8">+D16-H16</f>
        <v>-18011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142284</v>
      </c>
      <c r="U16" s="4"/>
      <c r="V16" s="12">
        <f t="shared" ref="V16:V17" si="11">IF(T$12=0,0,T16/T$12)</f>
        <v>0.27354995491589751</v>
      </c>
      <c r="W16" s="4"/>
      <c r="X16" s="4">
        <f t="shared" ref="X16:X17" si="12">+P16-T16</f>
        <v>-142284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18011</v>
      </c>
      <c r="I17" s="2"/>
      <c r="J17" s="19">
        <f t="shared" si="7"/>
        <v>0.2800043529631242</v>
      </c>
      <c r="K17" s="2"/>
      <c r="L17" s="2">
        <f t="shared" si="8"/>
        <v>-18011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142284</v>
      </c>
      <c r="U17" s="2"/>
      <c r="V17" s="19">
        <f t="shared" si="11"/>
        <v>0.27354995491589751</v>
      </c>
      <c r="W17" s="2"/>
      <c r="X17" s="2">
        <f t="shared" si="12"/>
        <v>-142284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1">
        <f>D12-D16</f>
        <v>0</v>
      </c>
      <c r="E19" s="14"/>
      <c r="F19" s="20">
        <f>IF(D$12=0,0,D19/D$12)</f>
        <v>0</v>
      </c>
      <c r="G19" s="14"/>
      <c r="H19" s="21">
        <f>H12-H16</f>
        <v>46313</v>
      </c>
      <c r="I19" s="14"/>
      <c r="J19" s="20">
        <f>IF(H$12=0,0,H19/H$12)</f>
        <v>0.7199956470368758</v>
      </c>
      <c r="K19" s="16"/>
      <c r="L19" s="21">
        <f>+D19-H19</f>
        <v>-46313</v>
      </c>
      <c r="M19" s="16"/>
      <c r="N19" s="20">
        <f>IF(H19=0,0,L19/H19)</f>
        <v>-1</v>
      </c>
      <c r="O19" s="29"/>
      <c r="P19" s="21">
        <f>P12-P16</f>
        <v>0</v>
      </c>
      <c r="Q19" s="14"/>
      <c r="R19" s="20">
        <f>IF(P$12=0,0,P19/P$12)</f>
        <v>0</v>
      </c>
      <c r="S19" s="14"/>
      <c r="T19" s="21">
        <f>T12-T16</f>
        <v>377855</v>
      </c>
      <c r="U19" s="14"/>
      <c r="V19" s="20">
        <f>IF(T$12=0,0,T19/T$12)</f>
        <v>0.72645004508410249</v>
      </c>
      <c r="W19" s="16"/>
      <c r="X19" s="21">
        <f>+P19-T19</f>
        <v>-377855</v>
      </c>
      <c r="Y19" s="16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2">
        <f>SUM(OSRRefD22x_0)</f>
        <v>41903.239999999991</v>
      </c>
      <c r="E21" s="22"/>
      <c r="F21" s="32">
        <f t="shared" ref="F21:F32" si="14">IF(D$12=0,0,D21/D$12)</f>
        <v>0</v>
      </c>
      <c r="G21" s="22"/>
      <c r="H21" s="22">
        <f>SUM(OSRRefH22x_0)</f>
        <v>104368.61252573456</v>
      </c>
      <c r="I21" s="22"/>
      <c r="J21" s="32">
        <f t="shared" ref="J21:J32" si="15">IF(H$12=0,0,H21/H$12)</f>
        <v>1.6225454344526857</v>
      </c>
      <c r="K21" s="4"/>
      <c r="L21" s="22">
        <f t="shared" ref="L21:L32" si="16">+D21-H21</f>
        <v>-62465.372525734565</v>
      </c>
      <c r="M21" s="4"/>
      <c r="N21" s="32">
        <f t="shared" ref="N21:N32" si="17">IF(H21=0,0,L21/H21)</f>
        <v>-0.59850726204041704</v>
      </c>
      <c r="O21" s="10"/>
      <c r="P21" s="22">
        <f>SUM(OSRRefP22x_0)</f>
        <v>411167.14999999997</v>
      </c>
      <c r="Q21" s="22"/>
      <c r="R21" s="32">
        <f t="shared" ref="R21:R32" si="18">IF(P$12=0,0,P21/P$12)</f>
        <v>0</v>
      </c>
      <c r="S21" s="22"/>
      <c r="T21" s="22">
        <f>SUM(OSRRefT22x_0)</f>
        <v>930519.980563964</v>
      </c>
      <c r="U21" s="22"/>
      <c r="V21" s="32">
        <f t="shared" ref="V21:V32" si="19">IF(T$12=0,0,T21/T$12)</f>
        <v>1.7889832920891608</v>
      </c>
      <c r="W21" s="4"/>
      <c r="X21" s="22">
        <f t="shared" ref="X21:X32" si="20">+P21-T21</f>
        <v>-519352.83056396403</v>
      </c>
      <c r="Y21" s="4"/>
      <c r="Z21" s="32">
        <f t="shared" ref="Z21:Z32" si="21">IF(T21=0,0,X21/T21)</f>
        <v>-0.55813184177861264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20739.579999999998</v>
      </c>
      <c r="E22" s="1"/>
      <c r="F22" s="5">
        <f t="shared" si="14"/>
        <v>0</v>
      </c>
      <c r="G22" s="1"/>
      <c r="H22" s="1">
        <f>SUM(OSRRefH22_0x_0)</f>
        <v>34033.988827657653</v>
      </c>
      <c r="I22" s="1"/>
      <c r="J22" s="5">
        <f t="shared" si="15"/>
        <v>0.52910249405599241</v>
      </c>
      <c r="K22" s="1"/>
      <c r="L22" s="1">
        <f t="shared" si="16"/>
        <v>-13294.408827657655</v>
      </c>
      <c r="M22" s="1"/>
      <c r="N22" s="5">
        <f t="shared" si="17"/>
        <v>-0.39062153116927573</v>
      </c>
      <c r="O22" s="13"/>
      <c r="P22" s="1">
        <f>SUM(OSRRefP22_0x_0)</f>
        <v>194803.22999999995</v>
      </c>
      <c r="Q22" s="1"/>
      <c r="R22" s="5">
        <f t="shared" si="18"/>
        <v>0</v>
      </c>
      <c r="S22" s="1"/>
      <c r="T22" s="1">
        <f>SUM(OSRRefT22_0x_0)</f>
        <v>304495.88977088721</v>
      </c>
      <c r="U22" s="1"/>
      <c r="V22" s="5">
        <f t="shared" si="19"/>
        <v>0.58541253351678535</v>
      </c>
      <c r="W22" s="1"/>
      <c r="X22" s="1">
        <f t="shared" si="20"/>
        <v>-109692.65977088726</v>
      </c>
      <c r="Y22" s="1"/>
      <c r="Z22" s="5">
        <f t="shared" si="21"/>
        <v>-0.36024348260800382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>
        <v>2307.2399999999998</v>
      </c>
      <c r="E23" s="2"/>
      <c r="F23" s="6">
        <f t="shared" si="14"/>
        <v>0</v>
      </c>
      <c r="G23" s="2"/>
      <c r="H23" s="7">
        <v>3297.1691287153799</v>
      </c>
      <c r="I23" s="2"/>
      <c r="J23" s="6">
        <f t="shared" si="15"/>
        <v>5.1258770112483365E-2</v>
      </c>
      <c r="K23" s="2"/>
      <c r="L23" s="7">
        <f t="shared" si="16"/>
        <v>-989.9291287153801</v>
      </c>
      <c r="M23" s="2"/>
      <c r="N23" s="6">
        <f t="shared" si="17"/>
        <v>-0.30023607830547333</v>
      </c>
      <c r="O23" s="11"/>
      <c r="P23" s="7">
        <v>17280.04</v>
      </c>
      <c r="Q23" s="2"/>
      <c r="R23" s="6">
        <f t="shared" si="18"/>
        <v>0</v>
      </c>
      <c r="S23" s="2"/>
      <c r="T23" s="7">
        <v>29378.605832695401</v>
      </c>
      <c r="U23" s="2"/>
      <c r="V23" s="6">
        <f t="shared" si="19"/>
        <v>5.648222077693732E-2</v>
      </c>
      <c r="W23" s="2"/>
      <c r="X23" s="7">
        <f t="shared" si="20"/>
        <v>-12098.5658326954</v>
      </c>
      <c r="Y23" s="2"/>
      <c r="Z23" s="6">
        <f t="shared" si="21"/>
        <v>-0.41181551982398451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>
        <v>853.5</v>
      </c>
      <c r="E24" s="2"/>
      <c r="F24" s="6">
        <f t="shared" si="14"/>
        <v>0</v>
      </c>
      <c r="G24" s="2"/>
      <c r="H24" s="7">
        <v>2295.1303567499999</v>
      </c>
      <c r="I24" s="2"/>
      <c r="J24" s="6">
        <f t="shared" si="15"/>
        <v>3.5680777886170016E-2</v>
      </c>
      <c r="K24" s="2"/>
      <c r="L24" s="7">
        <f t="shared" si="16"/>
        <v>-1441.6303567499999</v>
      </c>
      <c r="M24" s="2"/>
      <c r="N24" s="6">
        <f t="shared" si="17"/>
        <v>-0.62812569774529425</v>
      </c>
      <c r="O24" s="11"/>
      <c r="P24" s="7">
        <v>9186.2000000000007</v>
      </c>
      <c r="Q24" s="2"/>
      <c r="R24" s="6">
        <f t="shared" si="18"/>
        <v>0</v>
      </c>
      <c r="S24" s="2"/>
      <c r="T24" s="7">
        <v>20129.683671899998</v>
      </c>
      <c r="U24" s="2"/>
      <c r="V24" s="6">
        <f t="shared" si="19"/>
        <v>3.8700585174155366E-2</v>
      </c>
      <c r="W24" s="2"/>
      <c r="X24" s="7">
        <f t="shared" si="20"/>
        <v>-10943.483671899998</v>
      </c>
      <c r="Y24" s="2"/>
      <c r="Z24" s="6">
        <f t="shared" si="21"/>
        <v>-0.54364906325758799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>
        <v>12477.9</v>
      </c>
      <c r="E25" s="2"/>
      <c r="F25" s="6">
        <f t="shared" si="14"/>
        <v>0</v>
      </c>
      <c r="G25" s="2"/>
      <c r="H25" s="7">
        <v>23148.461538461499</v>
      </c>
      <c r="I25" s="2"/>
      <c r="J25" s="6">
        <f t="shared" si="15"/>
        <v>0.35987285520896556</v>
      </c>
      <c r="K25" s="2"/>
      <c r="L25" s="7">
        <f t="shared" si="16"/>
        <v>-10670.561538461499</v>
      </c>
      <c r="M25" s="2"/>
      <c r="N25" s="6">
        <f t="shared" si="17"/>
        <v>-0.46096201774498963</v>
      </c>
      <c r="O25" s="11"/>
      <c r="P25" s="7">
        <v>125613.18</v>
      </c>
      <c r="Q25" s="2"/>
      <c r="R25" s="6">
        <f t="shared" si="18"/>
        <v>0</v>
      </c>
      <c r="S25" s="2"/>
      <c r="T25" s="7">
        <v>208458.46153846101</v>
      </c>
      <c r="U25" s="2"/>
      <c r="V25" s="6">
        <f t="shared" si="19"/>
        <v>0.40077452669086727</v>
      </c>
      <c r="W25" s="2"/>
      <c r="X25" s="7">
        <f t="shared" si="20"/>
        <v>-82845.281538461015</v>
      </c>
      <c r="Y25" s="2"/>
      <c r="Z25" s="6">
        <f t="shared" si="21"/>
        <v>-0.39741865562591178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>
        <v>51.73</v>
      </c>
      <c r="E26" s="2"/>
      <c r="F26" s="6">
        <f t="shared" si="14"/>
        <v>0</v>
      </c>
      <c r="G26" s="2"/>
      <c r="H26" s="7">
        <v>139.09880949999999</v>
      </c>
      <c r="I26" s="2"/>
      <c r="J26" s="6">
        <f t="shared" si="15"/>
        <v>2.1624713870406066E-3</v>
      </c>
      <c r="K26" s="2"/>
      <c r="L26" s="7">
        <f t="shared" si="16"/>
        <v>-87.368809499999998</v>
      </c>
      <c r="M26" s="2"/>
      <c r="N26" s="6">
        <f t="shared" si="17"/>
        <v>-0.62810609101582571</v>
      </c>
      <c r="O26" s="11"/>
      <c r="P26" s="7">
        <v>565.41</v>
      </c>
      <c r="Q26" s="2"/>
      <c r="R26" s="6">
        <f t="shared" si="18"/>
        <v>0</v>
      </c>
      <c r="S26" s="2"/>
      <c r="T26" s="7">
        <v>1219.9808286</v>
      </c>
      <c r="U26" s="2"/>
      <c r="V26" s="6">
        <f t="shared" si="19"/>
        <v>2.3454900105548708E-3</v>
      </c>
      <c r="W26" s="2"/>
      <c r="X26" s="7">
        <f t="shared" si="20"/>
        <v>-654.57082860000003</v>
      </c>
      <c r="Y26" s="2"/>
      <c r="Z26" s="6">
        <f t="shared" si="21"/>
        <v>-0.53654189742568226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>
        <v>494.19</v>
      </c>
      <c r="E27" s="2"/>
      <c r="F27" s="6">
        <f t="shared" si="14"/>
        <v>0</v>
      </c>
      <c r="G27" s="2"/>
      <c r="H27" s="7">
        <v>1010.21057692308</v>
      </c>
      <c r="I27" s="2"/>
      <c r="J27" s="6">
        <f t="shared" si="15"/>
        <v>1.5705033532166533E-2</v>
      </c>
      <c r="K27" s="2"/>
      <c r="L27" s="7">
        <f t="shared" si="16"/>
        <v>-516.02057692307994</v>
      </c>
      <c r="M27" s="2"/>
      <c r="N27" s="6">
        <f t="shared" si="17"/>
        <v>-0.510804963550061</v>
      </c>
      <c r="O27" s="11"/>
      <c r="P27" s="7">
        <v>5490.47</v>
      </c>
      <c r="Q27" s="2"/>
      <c r="R27" s="6">
        <f t="shared" si="18"/>
        <v>0</v>
      </c>
      <c r="S27" s="2"/>
      <c r="T27" s="7">
        <v>8889.8530769230892</v>
      </c>
      <c r="U27" s="2"/>
      <c r="V27" s="6">
        <f t="shared" si="19"/>
        <v>1.709130266510123E-2</v>
      </c>
      <c r="W27" s="2"/>
      <c r="X27" s="7">
        <f t="shared" si="20"/>
        <v>-3399.383076923089</v>
      </c>
      <c r="Y27" s="2"/>
      <c r="Z27" s="6">
        <f t="shared" si="21"/>
        <v>-0.38238911796500308</v>
      </c>
    </row>
    <row r="28" spans="1:26" s="24" customFormat="1" hidden="1" outlineLevel="2" x14ac:dyDescent="0.25">
      <c r="A28" s="26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"6117", " - ", "RETIREMENT STAFF HOURLY")</f>
        <v xml:space="preserve">          6117 - RETIREMENT STAFF HOURLY</v>
      </c>
      <c r="C29" s="11"/>
      <c r="D29" s="7">
        <v>502.56</v>
      </c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502.56</v>
      </c>
      <c r="M29" s="2"/>
      <c r="N29" s="6">
        <f t="shared" si="17"/>
        <v>0</v>
      </c>
      <c r="O29" s="11"/>
      <c r="P29" s="7">
        <v>5884.77</v>
      </c>
      <c r="Q29" s="2"/>
      <c r="R29" s="6">
        <f t="shared" si="18"/>
        <v>0</v>
      </c>
      <c r="S29" s="2"/>
      <c r="T29" s="7"/>
      <c r="U29" s="2"/>
      <c r="V29" s="6">
        <f t="shared" si="19"/>
        <v>0</v>
      </c>
      <c r="W29" s="2"/>
      <c r="X29" s="7">
        <f t="shared" si="20"/>
        <v>5884.77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7">
        <v>1872.24</v>
      </c>
      <c r="E30" s="2"/>
      <c r="F30" s="6">
        <f t="shared" si="14"/>
        <v>0</v>
      </c>
      <c r="G30" s="2"/>
      <c r="H30" s="7">
        <v>2428.9994615384599</v>
      </c>
      <c r="I30" s="2"/>
      <c r="J30" s="6">
        <f t="shared" si="15"/>
        <v>3.7761946731211679E-2</v>
      </c>
      <c r="K30" s="2"/>
      <c r="L30" s="7">
        <f t="shared" si="16"/>
        <v>-556.75946153845985</v>
      </c>
      <c r="M30" s="2"/>
      <c r="N30" s="6">
        <f t="shared" si="17"/>
        <v>-0.22921349730799204</v>
      </c>
      <c r="O30" s="11"/>
      <c r="P30" s="7">
        <v>13626.77</v>
      </c>
      <c r="Q30" s="2"/>
      <c r="R30" s="6">
        <f t="shared" si="18"/>
        <v>0</v>
      </c>
      <c r="S30" s="2"/>
      <c r="T30" s="7">
        <v>21375.195261538502</v>
      </c>
      <c r="U30" s="2"/>
      <c r="V30" s="6">
        <f t="shared" si="19"/>
        <v>4.1095159681428427E-2</v>
      </c>
      <c r="W30" s="2"/>
      <c r="X30" s="7">
        <f t="shared" si="20"/>
        <v>-7748.4252615385012</v>
      </c>
      <c r="Y30" s="2"/>
      <c r="Z30" s="6">
        <f t="shared" si="21"/>
        <v>-0.36249611602288589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7">
        <v>1425.51</v>
      </c>
      <c r="E31" s="2"/>
      <c r="F31" s="6">
        <f t="shared" si="14"/>
        <v>0</v>
      </c>
      <c r="G31" s="2"/>
      <c r="H31" s="7">
        <v>1714.91895576923</v>
      </c>
      <c r="I31" s="2"/>
      <c r="J31" s="6">
        <f t="shared" si="15"/>
        <v>2.6660639197954573E-2</v>
      </c>
      <c r="K31" s="2"/>
      <c r="L31" s="7">
        <f t="shared" si="16"/>
        <v>-289.40895576923003</v>
      </c>
      <c r="M31" s="2"/>
      <c r="N31" s="6">
        <f t="shared" si="17"/>
        <v>-0.168759552628197</v>
      </c>
      <c r="O31" s="11"/>
      <c r="P31" s="7">
        <v>10428.9</v>
      </c>
      <c r="Q31" s="2"/>
      <c r="R31" s="6">
        <f t="shared" si="18"/>
        <v>0</v>
      </c>
      <c r="S31" s="2"/>
      <c r="T31" s="7">
        <v>15044.1095607692</v>
      </c>
      <c r="U31" s="2"/>
      <c r="V31" s="6">
        <f t="shared" si="19"/>
        <v>2.8923248517740835E-2</v>
      </c>
      <c r="W31" s="2"/>
      <c r="X31" s="7">
        <f t="shared" si="20"/>
        <v>-4615.2095607692008</v>
      </c>
      <c r="Y31" s="2"/>
      <c r="Z31" s="6">
        <f t="shared" si="21"/>
        <v>-0.30677851302042941</v>
      </c>
    </row>
    <row r="32" spans="1:26" s="24" customFormat="1" hidden="1" outlineLevel="2" x14ac:dyDescent="0.25">
      <c r="A32" s="26"/>
      <c r="B32" s="11" t="str">
        <f>CONCATENATE("          ", "6156", " - ", "EMPLOYEE MEALS")</f>
        <v xml:space="preserve">          6156 - EMPLOYEE MEALS</v>
      </c>
      <c r="C32" s="11"/>
      <c r="D32" s="7">
        <v>754.71</v>
      </c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754.71</v>
      </c>
      <c r="M32" s="2"/>
      <c r="N32" s="6">
        <f t="shared" si="17"/>
        <v>0</v>
      </c>
      <c r="O32" s="11"/>
      <c r="P32" s="7">
        <v>6727.49</v>
      </c>
      <c r="Q32" s="2"/>
      <c r="R32" s="6">
        <f t="shared" si="18"/>
        <v>0</v>
      </c>
      <c r="S32" s="2"/>
      <c r="T32" s="7"/>
      <c r="U32" s="2"/>
      <c r="V32" s="6">
        <f t="shared" si="19"/>
        <v>0</v>
      </c>
      <c r="W32" s="2"/>
      <c r="X32" s="7">
        <f t="shared" si="20"/>
        <v>6727.49</v>
      </c>
      <c r="Y32" s="2"/>
      <c r="Z32" s="6">
        <f t="shared" si="21"/>
        <v>0</v>
      </c>
    </row>
    <row r="33" spans="1:26" s="25" customFormat="1" outlineLevel="1" collapsed="1" x14ac:dyDescent="0.25">
      <c r="A33" s="27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20275.099999999999</v>
      </c>
      <c r="E33" s="1"/>
      <c r="F33" s="5">
        <f t="shared" ref="F33:F43" si="22">IF(D$12=0,0,D33/D$12)</f>
        <v>0</v>
      </c>
      <c r="G33" s="1"/>
      <c r="H33" s="1">
        <f>SUM(OSRRefH22_1x_0)</f>
        <v>49355.623698076903</v>
      </c>
      <c r="I33" s="1"/>
      <c r="J33" s="5">
        <f t="shared" ref="J33:J43" si="23">IF(H$12=0,0,H33/H$12)</f>
        <v>0.76729717831722066</v>
      </c>
      <c r="K33" s="1"/>
      <c r="L33" s="1">
        <f t="shared" ref="L33:L43" si="24">+D33-H33</f>
        <v>-29080.523698076904</v>
      </c>
      <c r="M33" s="1"/>
      <c r="N33" s="5">
        <f t="shared" ref="N33:N43" si="25">IF(H33=0,0,L33/H33)</f>
        <v>-0.58920385397155872</v>
      </c>
      <c r="O33" s="13"/>
      <c r="P33" s="1">
        <f>SUM(OSRRefP22_1x_0)</f>
        <v>204659.38999999998</v>
      </c>
      <c r="Q33" s="1"/>
      <c r="R33" s="5">
        <f t="shared" ref="R33:R43" si="26">IF(P$12=0,0,P33/P$12)</f>
        <v>0</v>
      </c>
      <c r="S33" s="1"/>
      <c r="T33" s="1">
        <f>SUM(OSRRefT22_1x_0)</f>
        <v>432804.09079307679</v>
      </c>
      <c r="U33" s="1"/>
      <c r="V33" s="5">
        <f t="shared" ref="V33:V43" si="27">IF(T$12=0,0,T33/T$12)</f>
        <v>0.83209313432193466</v>
      </c>
      <c r="W33" s="1"/>
      <c r="X33" s="1">
        <f t="shared" ref="X33:X43" si="28">+P33-T33</f>
        <v>-228144.7007930768</v>
      </c>
      <c r="Y33" s="1"/>
      <c r="Z33" s="5">
        <f t="shared" ref="Z33:Z43" si="29">IF(T33=0,0,X33/T33)</f>
        <v>-0.52713157210464667</v>
      </c>
    </row>
    <row r="34" spans="1:26" s="24" customFormat="1" hidden="1" outlineLevel="2" x14ac:dyDescent="0.25">
      <c r="A34" s="26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>
        <v>4256</v>
      </c>
      <c r="E35" s="2"/>
      <c r="F35" s="6">
        <f t="shared" si="22"/>
        <v>0</v>
      </c>
      <c r="G35" s="2"/>
      <c r="H35" s="7">
        <v>10422.1394230769</v>
      </c>
      <c r="I35" s="2"/>
      <c r="J35" s="6">
        <f t="shared" si="23"/>
        <v>0.1620256735134149</v>
      </c>
      <c r="K35" s="2"/>
      <c r="L35" s="7">
        <f t="shared" si="24"/>
        <v>-6166.1394230769001</v>
      </c>
      <c r="M35" s="2"/>
      <c r="N35" s="6">
        <f t="shared" si="25"/>
        <v>-0.59163854682501338</v>
      </c>
      <c r="O35" s="11"/>
      <c r="P35" s="7">
        <v>43288.99</v>
      </c>
      <c r="Q35" s="2"/>
      <c r="R35" s="6">
        <f t="shared" si="26"/>
        <v>0</v>
      </c>
      <c r="S35" s="2"/>
      <c r="T35" s="7">
        <v>91714.826923076806</v>
      </c>
      <c r="U35" s="2"/>
      <c r="V35" s="6">
        <f t="shared" si="27"/>
        <v>0.17632753345370528</v>
      </c>
      <c r="W35" s="2"/>
      <c r="X35" s="7">
        <f t="shared" si="28"/>
        <v>-48425.836923076808</v>
      </c>
      <c r="Y35" s="2"/>
      <c r="Z35" s="6">
        <f t="shared" si="29"/>
        <v>-0.52800445192675982</v>
      </c>
    </row>
    <row r="36" spans="1:26" s="24" customFormat="1" hidden="1" outlineLevel="2" x14ac:dyDescent="0.25">
      <c r="A36" s="26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7">
        <v>19629.099999999999</v>
      </c>
      <c r="E37" s="2"/>
      <c r="F37" s="6">
        <f t="shared" si="22"/>
        <v>0</v>
      </c>
      <c r="G37" s="2"/>
      <c r="H37" s="7">
        <v>28829.7824</v>
      </c>
      <c r="I37" s="2"/>
      <c r="J37" s="6">
        <f t="shared" si="23"/>
        <v>0.44819635594801316</v>
      </c>
      <c r="K37" s="2"/>
      <c r="L37" s="7">
        <f t="shared" si="24"/>
        <v>-9200.6824000000015</v>
      </c>
      <c r="M37" s="2"/>
      <c r="N37" s="6">
        <f t="shared" si="25"/>
        <v>-0.31913811461858282</v>
      </c>
      <c r="O37" s="11"/>
      <c r="P37" s="7">
        <v>161370.4</v>
      </c>
      <c r="Q37" s="2"/>
      <c r="R37" s="6">
        <f t="shared" si="26"/>
        <v>0</v>
      </c>
      <c r="S37" s="2"/>
      <c r="T37" s="7">
        <v>253702.08512</v>
      </c>
      <c r="U37" s="2"/>
      <c r="V37" s="6">
        <f t="shared" si="27"/>
        <v>0.48775824370024168</v>
      </c>
      <c r="W37" s="2"/>
      <c r="X37" s="7">
        <f t="shared" si="28"/>
        <v>-92331.685120000009</v>
      </c>
      <c r="Y37" s="2"/>
      <c r="Z37" s="6">
        <f t="shared" si="29"/>
        <v>-0.36393743108704651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3128.4318750000002</v>
      </c>
      <c r="I38" s="2"/>
      <c r="J38" s="6">
        <f t="shared" si="23"/>
        <v>4.8635530672843735E-2</v>
      </c>
      <c r="K38" s="2"/>
      <c r="L38" s="7">
        <f t="shared" si="24"/>
        <v>-3128.4318750000002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26068.38625</v>
      </c>
      <c r="U38" s="2"/>
      <c r="V38" s="6">
        <f t="shared" si="27"/>
        <v>5.0118115061550852E-2</v>
      </c>
      <c r="W38" s="2"/>
      <c r="X38" s="7">
        <f t="shared" si="28"/>
        <v>-26068.38625</v>
      </c>
      <c r="Y38" s="2"/>
      <c r="Z38" s="6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>
        <v>-3610</v>
      </c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-3610</v>
      </c>
      <c r="M40" s="2"/>
      <c r="N40" s="6">
        <f t="shared" si="25"/>
        <v>0</v>
      </c>
      <c r="O40" s="11"/>
      <c r="P40" s="7">
        <v>0</v>
      </c>
      <c r="Q40" s="2"/>
      <c r="R40" s="6">
        <f t="shared" si="26"/>
        <v>0</v>
      </c>
      <c r="S40" s="2"/>
      <c r="T40" s="7">
        <v>4607.5</v>
      </c>
      <c r="U40" s="2"/>
      <c r="V40" s="6">
        <f t="shared" si="27"/>
        <v>8.858209055656277E-3</v>
      </c>
      <c r="W40" s="2"/>
      <c r="X40" s="7">
        <f t="shared" si="28"/>
        <v>-4607.5</v>
      </c>
      <c r="Y40" s="2"/>
      <c r="Z40" s="6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6975.27</v>
      </c>
      <c r="I41" s="2"/>
      <c r="J41" s="6">
        <f t="shared" si="23"/>
        <v>0.10843961818294882</v>
      </c>
      <c r="K41" s="2"/>
      <c r="L41" s="7">
        <f t="shared" si="24"/>
        <v>-6975.27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56711.292500000003</v>
      </c>
      <c r="U41" s="2"/>
      <c r="V41" s="6">
        <f t="shared" si="27"/>
        <v>0.10903103305078066</v>
      </c>
      <c r="W41" s="2"/>
      <c r="X41" s="7">
        <f t="shared" si="28"/>
        <v>-56711.292500000003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4.6638890616255207E-3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3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3100</v>
      </c>
      <c r="U44" s="1"/>
      <c r="V44" s="5">
        <f t="shared" ref="V44:V69" si="35">IF(T$12=0,0,T44/T$12)</f>
        <v>5.9599453223080755E-3</v>
      </c>
      <c r="W44" s="1"/>
      <c r="X44" s="1">
        <f t="shared" ref="X44:X69" si="36">+P44-T44</f>
        <v>-3100</v>
      </c>
      <c r="Y44" s="1"/>
      <c r="Z44" s="5">
        <f t="shared" ref="Z44:Z69" si="37">IF(T44=0,0,X44/T44)</f>
        <v>-1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300</v>
      </c>
      <c r="I45" s="2"/>
      <c r="J45" s="6">
        <f t="shared" si="31"/>
        <v>4.6638890616255207E-3</v>
      </c>
      <c r="K45" s="2"/>
      <c r="L45" s="7">
        <f t="shared" si="32"/>
        <v>-300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3100</v>
      </c>
      <c r="U45" s="2"/>
      <c r="V45" s="6">
        <f t="shared" si="35"/>
        <v>5.9599453223080755E-3</v>
      </c>
      <c r="W45" s="2"/>
      <c r="X45" s="7">
        <f t="shared" si="36"/>
        <v>-3100</v>
      </c>
      <c r="Y45" s="2"/>
      <c r="Z45" s="6">
        <f t="shared" si="37"/>
        <v>-1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1.2437037497668054E-4</v>
      </c>
      <c r="K46" s="1"/>
      <c r="L46" s="1">
        <f t="shared" si="32"/>
        <v>-8</v>
      </c>
      <c r="M46" s="1"/>
      <c r="N46" s="5">
        <f t="shared" si="33"/>
        <v>-1</v>
      </c>
      <c r="O46" s="13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72</v>
      </c>
      <c r="U46" s="1"/>
      <c r="V46" s="5">
        <f t="shared" si="35"/>
        <v>1.3842453651812303E-4</v>
      </c>
      <c r="W46" s="1"/>
      <c r="X46" s="1">
        <f t="shared" si="36"/>
        <v>-42.260000000000005</v>
      </c>
      <c r="Y46" s="1"/>
      <c r="Z46" s="5">
        <f t="shared" si="37"/>
        <v>-0.58694444444444449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1.2437037497668054E-4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>
        <v>29.74</v>
      </c>
      <c r="Q47" s="2"/>
      <c r="R47" s="6">
        <f t="shared" si="34"/>
        <v>0</v>
      </c>
      <c r="S47" s="2"/>
      <c r="T47" s="7">
        <v>72</v>
      </c>
      <c r="U47" s="2"/>
      <c r="V47" s="6">
        <f t="shared" si="35"/>
        <v>1.3842453651812303E-4</v>
      </c>
      <c r="W47" s="2"/>
      <c r="X47" s="7">
        <f t="shared" si="36"/>
        <v>-42.260000000000005</v>
      </c>
      <c r="Y47" s="2"/>
      <c r="Z47" s="6">
        <f t="shared" si="37"/>
        <v>-0.58694444444444449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10</v>
      </c>
      <c r="I48" s="1"/>
      <c r="J48" s="5">
        <f t="shared" si="31"/>
        <v>1.554629687208507E-4</v>
      </c>
      <c r="K48" s="1"/>
      <c r="L48" s="1">
        <f t="shared" si="32"/>
        <v>-10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90</v>
      </c>
      <c r="U48" s="1"/>
      <c r="V48" s="5">
        <f t="shared" si="35"/>
        <v>1.730306706476538E-4</v>
      </c>
      <c r="W48" s="1"/>
      <c r="X48" s="1">
        <f t="shared" si="36"/>
        <v>-90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10</v>
      </c>
      <c r="I49" s="2"/>
      <c r="J49" s="6">
        <f t="shared" si="31"/>
        <v>1.554629687208507E-4</v>
      </c>
      <c r="K49" s="2"/>
      <c r="L49" s="7">
        <f t="shared" si="32"/>
        <v>-10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90</v>
      </c>
      <c r="U49" s="2"/>
      <c r="V49" s="6">
        <f t="shared" si="35"/>
        <v>1.730306706476538E-4</v>
      </c>
      <c r="W49" s="2"/>
      <c r="X49" s="7">
        <f t="shared" si="36"/>
        <v>-90</v>
      </c>
      <c r="Y49" s="2"/>
      <c r="Z49" s="6">
        <f t="shared" si="37"/>
        <v>-1</v>
      </c>
    </row>
    <row r="50" spans="1:26" s="25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3.3113612337541199E-3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3"/>
      <c r="P50" s="1">
        <f>SUM(OSRRefP22_5x_0)</f>
        <v>2130.1999999999998</v>
      </c>
      <c r="Q50" s="1"/>
      <c r="R50" s="5">
        <f t="shared" si="34"/>
        <v>0</v>
      </c>
      <c r="S50" s="1"/>
      <c r="T50" s="1">
        <f>SUM(OSRRefT22_5x_0)</f>
        <v>2130</v>
      </c>
      <c r="U50" s="1"/>
      <c r="V50" s="5">
        <f t="shared" si="35"/>
        <v>4.0950592053278067E-3</v>
      </c>
      <c r="W50" s="1"/>
      <c r="X50" s="1">
        <f t="shared" si="36"/>
        <v>0.1999999999998181</v>
      </c>
      <c r="Y50" s="1"/>
      <c r="Z50" s="5">
        <f t="shared" si="37"/>
        <v>9.389671361493808E-5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30"/>
        <v>0</v>
      </c>
      <c r="G51" s="2"/>
      <c r="H51" s="7">
        <v>213</v>
      </c>
      <c r="I51" s="2"/>
      <c r="J51" s="6">
        <f t="shared" si="31"/>
        <v>3.3113612337541199E-3</v>
      </c>
      <c r="K51" s="2"/>
      <c r="L51" s="7">
        <f t="shared" si="32"/>
        <v>2.0000000000010232E-2</v>
      </c>
      <c r="M51" s="2"/>
      <c r="N51" s="6">
        <f t="shared" si="33"/>
        <v>9.3896713615071505E-5</v>
      </c>
      <c r="O51" s="11"/>
      <c r="P51" s="7">
        <v>2130.1999999999998</v>
      </c>
      <c r="Q51" s="2"/>
      <c r="R51" s="6">
        <f t="shared" si="34"/>
        <v>0</v>
      </c>
      <c r="S51" s="2"/>
      <c r="T51" s="7">
        <v>2130</v>
      </c>
      <c r="U51" s="2"/>
      <c r="V51" s="6">
        <f t="shared" si="35"/>
        <v>4.0950592053278067E-3</v>
      </c>
      <c r="W51" s="2"/>
      <c r="X51" s="7">
        <f t="shared" si="36"/>
        <v>0.1999999999998181</v>
      </c>
      <c r="Y51" s="2"/>
      <c r="Z51" s="6">
        <f t="shared" si="37"/>
        <v>9.389671361493808E-5</v>
      </c>
    </row>
    <row r="52" spans="1:26" s="25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4.155525153908339E-2</v>
      </c>
      <c r="K52" s="1"/>
      <c r="L52" s="1">
        <f t="shared" si="32"/>
        <v>-2673</v>
      </c>
      <c r="M52" s="1"/>
      <c r="N52" s="5">
        <f t="shared" si="33"/>
        <v>-1</v>
      </c>
      <c r="O52" s="13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24057</v>
      </c>
      <c r="U52" s="1"/>
      <c r="V52" s="5">
        <f t="shared" si="35"/>
        <v>4.6251098264117864E-2</v>
      </c>
      <c r="W52" s="1"/>
      <c r="X52" s="1">
        <f t="shared" si="36"/>
        <v>-24057</v>
      </c>
      <c r="Y52" s="1"/>
      <c r="Z52" s="5">
        <f t="shared" si="37"/>
        <v>-1</v>
      </c>
    </row>
    <row r="53" spans="1:26" s="24" customFormat="1" hidden="1" outlineLevel="2" x14ac:dyDescent="0.25">
      <c r="A53" s="26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30"/>
        <v>0</v>
      </c>
      <c r="G53" s="2"/>
      <c r="H53" s="7">
        <v>2673</v>
      </c>
      <c r="I53" s="2"/>
      <c r="J53" s="6">
        <f t="shared" si="31"/>
        <v>4.155525153908339E-2</v>
      </c>
      <c r="K53" s="2"/>
      <c r="L53" s="7">
        <f t="shared" si="32"/>
        <v>-2673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24057</v>
      </c>
      <c r="U53" s="2"/>
      <c r="V53" s="6">
        <f t="shared" si="35"/>
        <v>4.6251098264117864E-2</v>
      </c>
      <c r="W53" s="2"/>
      <c r="X53" s="7">
        <f t="shared" si="36"/>
        <v>-24057</v>
      </c>
      <c r="Y53" s="2"/>
      <c r="Z53" s="6">
        <f t="shared" si="37"/>
        <v>-1</v>
      </c>
    </row>
    <row r="54" spans="1:26" s="25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7.7731484360425349E-4</v>
      </c>
      <c r="K54" s="1"/>
      <c r="L54" s="1">
        <f t="shared" si="32"/>
        <v>-50</v>
      </c>
      <c r="M54" s="1"/>
      <c r="N54" s="5">
        <f t="shared" si="33"/>
        <v>-1</v>
      </c>
      <c r="O54" s="13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450</v>
      </c>
      <c r="U54" s="1"/>
      <c r="V54" s="5">
        <f t="shared" si="35"/>
        <v>8.6515335323826905E-4</v>
      </c>
      <c r="W54" s="1"/>
      <c r="X54" s="1">
        <f t="shared" si="36"/>
        <v>-450</v>
      </c>
      <c r="Y54" s="1"/>
      <c r="Z54" s="5">
        <f t="shared" si="37"/>
        <v>-1</v>
      </c>
    </row>
    <row r="55" spans="1:26" s="24" customFormat="1" hidden="1" outlineLevel="2" x14ac:dyDescent="0.25">
      <c r="A55" s="26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0"/>
        <v>0</v>
      </c>
      <c r="G55" s="2"/>
      <c r="H55" s="7">
        <v>50</v>
      </c>
      <c r="I55" s="2"/>
      <c r="J55" s="6">
        <f t="shared" si="31"/>
        <v>7.7731484360425349E-4</v>
      </c>
      <c r="K55" s="2"/>
      <c r="L55" s="7">
        <f t="shared" si="32"/>
        <v>-50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450</v>
      </c>
      <c r="U55" s="2"/>
      <c r="V55" s="6">
        <f t="shared" si="35"/>
        <v>8.6515335323826905E-4</v>
      </c>
      <c r="W55" s="2"/>
      <c r="X55" s="7">
        <f t="shared" si="36"/>
        <v>-450</v>
      </c>
      <c r="Y55" s="2"/>
      <c r="Z55" s="6">
        <f t="shared" si="37"/>
        <v>-1</v>
      </c>
    </row>
    <row r="56" spans="1:26" s="25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3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6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20</v>
      </c>
      <c r="Q57" s="2"/>
      <c r="R57" s="6">
        <f t="shared" si="34"/>
        <v>0</v>
      </c>
      <c r="S57" s="2"/>
      <c r="T57" s="7"/>
      <c r="U57" s="2"/>
      <c r="V57" s="6">
        <f t="shared" si="35"/>
        <v>0</v>
      </c>
      <c r="W57" s="2"/>
      <c r="X57" s="7">
        <f t="shared" si="36"/>
        <v>20</v>
      </c>
      <c r="Y57" s="2"/>
      <c r="Z57" s="6">
        <f t="shared" si="37"/>
        <v>0</v>
      </c>
    </row>
    <row r="58" spans="1:26" s="25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0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1.554629687208507E-4</v>
      </c>
      <c r="K58" s="1"/>
      <c r="L58" s="1">
        <f t="shared" si="32"/>
        <v>-10</v>
      </c>
      <c r="M58" s="1"/>
      <c r="N58" s="5">
        <f t="shared" si="33"/>
        <v>-1</v>
      </c>
      <c r="O58" s="13"/>
      <c r="P58" s="1">
        <f>SUM(OSRRefP22_9x_0)</f>
        <v>1875.87</v>
      </c>
      <c r="Q58" s="1"/>
      <c r="R58" s="5">
        <f t="shared" si="34"/>
        <v>0</v>
      </c>
      <c r="S58" s="1"/>
      <c r="T58" s="1">
        <f>SUM(OSRRefT22_9x_0)</f>
        <v>1690</v>
      </c>
      <c r="U58" s="1"/>
      <c r="V58" s="5">
        <f t="shared" si="35"/>
        <v>3.2491314821614992E-3</v>
      </c>
      <c r="W58" s="1"/>
      <c r="X58" s="1">
        <f t="shared" si="36"/>
        <v>185.86999999999989</v>
      </c>
      <c r="Y58" s="1"/>
      <c r="Z58" s="5">
        <f t="shared" si="37"/>
        <v>0.10998224852070999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0"/>
        <v>0</v>
      </c>
      <c r="G59" s="2"/>
      <c r="H59" s="7">
        <v>10</v>
      </c>
      <c r="I59" s="2"/>
      <c r="J59" s="6">
        <f t="shared" si="31"/>
        <v>1.554629687208507E-4</v>
      </c>
      <c r="K59" s="2"/>
      <c r="L59" s="7">
        <f t="shared" si="32"/>
        <v>-10</v>
      </c>
      <c r="M59" s="2"/>
      <c r="N59" s="6">
        <f t="shared" si="33"/>
        <v>-1</v>
      </c>
      <c r="O59" s="11"/>
      <c r="P59" s="7">
        <v>1875.87</v>
      </c>
      <c r="Q59" s="2"/>
      <c r="R59" s="6">
        <f t="shared" si="34"/>
        <v>0</v>
      </c>
      <c r="S59" s="2"/>
      <c r="T59" s="7">
        <v>1690</v>
      </c>
      <c r="U59" s="2"/>
      <c r="V59" s="6">
        <f t="shared" si="35"/>
        <v>3.2491314821614992E-3</v>
      </c>
      <c r="W59" s="2"/>
      <c r="X59" s="7">
        <f t="shared" si="36"/>
        <v>185.86999999999989</v>
      </c>
      <c r="Y59" s="2"/>
      <c r="Z59" s="6">
        <f t="shared" si="37"/>
        <v>0.10998224852070999</v>
      </c>
    </row>
    <row r="60" spans="1:26" s="25" customFormat="1" outlineLevel="1" collapsed="1" x14ac:dyDescent="0.25">
      <c r="A60" s="27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1.0882407810459549E-4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3"/>
      <c r="P60" s="1">
        <f>SUM(OSRRefP22_10x_0)</f>
        <v>59</v>
      </c>
      <c r="Q60" s="1"/>
      <c r="R60" s="5">
        <f t="shared" si="34"/>
        <v>0</v>
      </c>
      <c r="S60" s="1"/>
      <c r="T60" s="1">
        <f>SUM(OSRRefT22_10x_0)</f>
        <v>70</v>
      </c>
      <c r="U60" s="1"/>
      <c r="V60" s="5">
        <f t="shared" si="35"/>
        <v>1.3457941050373074E-4</v>
      </c>
      <c r="W60" s="1"/>
      <c r="X60" s="1">
        <f t="shared" si="36"/>
        <v>-11</v>
      </c>
      <c r="Y60" s="1"/>
      <c r="Z60" s="5">
        <f t="shared" si="37"/>
        <v>-0.15714285714285714</v>
      </c>
    </row>
    <row r="61" spans="1:26" s="24" customFormat="1" hidden="1" outlineLevel="2" x14ac:dyDescent="0.25">
      <c r="A61" s="26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30"/>
        <v>0</v>
      </c>
      <c r="G61" s="2"/>
      <c r="H61" s="7">
        <v>7</v>
      </c>
      <c r="I61" s="2"/>
      <c r="J61" s="6">
        <f t="shared" si="31"/>
        <v>1.0882407810459549E-4</v>
      </c>
      <c r="K61" s="2"/>
      <c r="L61" s="7">
        <f t="shared" si="32"/>
        <v>-1.0999999999999996</v>
      </c>
      <c r="M61" s="2"/>
      <c r="N61" s="6">
        <f t="shared" si="33"/>
        <v>-0.15714285714285708</v>
      </c>
      <c r="O61" s="11"/>
      <c r="P61" s="7">
        <v>59</v>
      </c>
      <c r="Q61" s="2"/>
      <c r="R61" s="6">
        <f t="shared" si="34"/>
        <v>0</v>
      </c>
      <c r="S61" s="2"/>
      <c r="T61" s="7">
        <v>70</v>
      </c>
      <c r="U61" s="2"/>
      <c r="V61" s="6">
        <f t="shared" si="35"/>
        <v>1.3457941050373074E-4</v>
      </c>
      <c r="W61" s="2"/>
      <c r="X61" s="7">
        <f t="shared" si="36"/>
        <v>-11</v>
      </c>
      <c r="Y61" s="2"/>
      <c r="Z61" s="6">
        <f t="shared" si="37"/>
        <v>-0.15714285714285714</v>
      </c>
    </row>
    <row r="62" spans="1:26" s="25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5146</v>
      </c>
      <c r="I62" s="1"/>
      <c r="J62" s="5">
        <f t="shared" si="31"/>
        <v>8.0001243703749766E-2</v>
      </c>
      <c r="K62" s="1"/>
      <c r="L62" s="1">
        <f t="shared" si="32"/>
        <v>-5146</v>
      </c>
      <c r="M62" s="1"/>
      <c r="N62" s="5">
        <f t="shared" si="33"/>
        <v>-1</v>
      </c>
      <c r="O62" s="13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41611</v>
      </c>
      <c r="U62" s="1"/>
      <c r="V62" s="5">
        <f t="shared" si="35"/>
        <v>7.9999769292439141E-2</v>
      </c>
      <c r="W62" s="1"/>
      <c r="X62" s="1">
        <f t="shared" si="36"/>
        <v>-41611</v>
      </c>
      <c r="Y62" s="1"/>
      <c r="Z62" s="5">
        <f t="shared" si="37"/>
        <v>-1</v>
      </c>
    </row>
    <row r="63" spans="1:26" s="24" customFormat="1" hidden="1" outlineLevel="2" x14ac:dyDescent="0.25">
      <c r="A63" s="26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30"/>
        <v>0</v>
      </c>
      <c r="G63" s="2"/>
      <c r="H63" s="7">
        <v>5146</v>
      </c>
      <c r="I63" s="2"/>
      <c r="J63" s="6">
        <f t="shared" si="31"/>
        <v>8.0001243703749766E-2</v>
      </c>
      <c r="K63" s="2"/>
      <c r="L63" s="7">
        <f t="shared" si="32"/>
        <v>-5146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41611</v>
      </c>
      <c r="U63" s="2"/>
      <c r="V63" s="6">
        <f t="shared" si="35"/>
        <v>7.9999769292439141E-2</v>
      </c>
      <c r="W63" s="2"/>
      <c r="X63" s="7">
        <f t="shared" si="36"/>
        <v>-41611</v>
      </c>
      <c r="Y63" s="2"/>
      <c r="Z63" s="6">
        <f t="shared" si="37"/>
        <v>-1</v>
      </c>
    </row>
    <row r="64" spans="1:26" s="25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0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3.109259374417014E-4</v>
      </c>
      <c r="K64" s="1"/>
      <c r="L64" s="1">
        <f t="shared" si="32"/>
        <v>-20</v>
      </c>
      <c r="M64" s="1"/>
      <c r="N64" s="5">
        <f t="shared" si="33"/>
        <v>-1</v>
      </c>
      <c r="O64" s="13"/>
      <c r="P64" s="1">
        <f>SUM(OSRRefP22_12x_0)</f>
        <v>216.99</v>
      </c>
      <c r="Q64" s="1"/>
      <c r="R64" s="5">
        <f t="shared" si="34"/>
        <v>0</v>
      </c>
      <c r="S64" s="1"/>
      <c r="T64" s="1">
        <f>SUM(OSRRefT22_12x_0)</f>
        <v>200</v>
      </c>
      <c r="U64" s="1"/>
      <c r="V64" s="5">
        <f t="shared" si="35"/>
        <v>3.8451260143923066E-4</v>
      </c>
      <c r="W64" s="1"/>
      <c r="X64" s="1">
        <f t="shared" si="36"/>
        <v>16.990000000000009</v>
      </c>
      <c r="Y64" s="1"/>
      <c r="Z64" s="5">
        <f t="shared" si="37"/>
        <v>8.4950000000000039E-2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30"/>
        <v>0</v>
      </c>
      <c r="G65" s="2"/>
      <c r="H65" s="7">
        <v>20</v>
      </c>
      <c r="I65" s="2"/>
      <c r="J65" s="6">
        <f t="shared" si="31"/>
        <v>3.109259374417014E-4</v>
      </c>
      <c r="K65" s="2"/>
      <c r="L65" s="7">
        <f t="shared" si="32"/>
        <v>-20</v>
      </c>
      <c r="M65" s="2"/>
      <c r="N65" s="6">
        <f t="shared" si="33"/>
        <v>-1</v>
      </c>
      <c r="O65" s="11"/>
      <c r="P65" s="7">
        <v>216.99</v>
      </c>
      <c r="Q65" s="2"/>
      <c r="R65" s="6">
        <f t="shared" si="34"/>
        <v>0</v>
      </c>
      <c r="S65" s="2"/>
      <c r="T65" s="7">
        <v>200</v>
      </c>
      <c r="U65" s="2"/>
      <c r="V65" s="6">
        <f t="shared" si="35"/>
        <v>3.8451260143923066E-4</v>
      </c>
      <c r="W65" s="2"/>
      <c r="X65" s="7">
        <f t="shared" si="36"/>
        <v>16.990000000000009</v>
      </c>
      <c r="Y65" s="2"/>
      <c r="Z65" s="6">
        <f t="shared" si="37"/>
        <v>8.4950000000000039E-2</v>
      </c>
    </row>
    <row r="66" spans="1:26" s="25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SUM(OSRRefD22_13x_0)</f>
        <v>669.64</v>
      </c>
      <c r="E66" s="1"/>
      <c r="F66" s="5">
        <f t="shared" si="30"/>
        <v>0</v>
      </c>
      <c r="G66" s="1"/>
      <c r="H66" s="1">
        <f>SUM(OSRRefH22_13x_0)</f>
        <v>6502</v>
      </c>
      <c r="I66" s="1"/>
      <c r="J66" s="5">
        <f t="shared" si="31"/>
        <v>0.10108202226229712</v>
      </c>
      <c r="K66" s="1"/>
      <c r="L66" s="1">
        <f t="shared" si="32"/>
        <v>-5832.36</v>
      </c>
      <c r="M66" s="1"/>
      <c r="N66" s="5">
        <f t="shared" si="33"/>
        <v>-0.8970101507228545</v>
      </c>
      <c r="O66" s="13"/>
      <c r="P66" s="1">
        <f>SUM(OSRRefP22_13x_0)</f>
        <v>6696.4</v>
      </c>
      <c r="Q66" s="1"/>
      <c r="R66" s="5">
        <f t="shared" si="34"/>
        <v>0</v>
      </c>
      <c r="S66" s="1"/>
      <c r="T66" s="1">
        <f>SUM(OSRRefT22_13x_0)</f>
        <v>63490</v>
      </c>
      <c r="U66" s="1"/>
      <c r="V66" s="5">
        <f t="shared" si="35"/>
        <v>0.12206352532688378</v>
      </c>
      <c r="W66" s="1"/>
      <c r="X66" s="1">
        <f t="shared" si="36"/>
        <v>-56793.599999999999</v>
      </c>
      <c r="Y66" s="1"/>
      <c r="Z66" s="5">
        <f t="shared" si="37"/>
        <v>-0.89452827216884545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669.64</v>
      </c>
      <c r="E67" s="2"/>
      <c r="F67" s="6">
        <f t="shared" si="30"/>
        <v>0</v>
      </c>
      <c r="G67" s="2"/>
      <c r="H67" s="7">
        <v>850</v>
      </c>
      <c r="I67" s="2"/>
      <c r="J67" s="6">
        <f t="shared" si="31"/>
        <v>1.3214352341272309E-2</v>
      </c>
      <c r="K67" s="2"/>
      <c r="L67" s="7">
        <f t="shared" si="32"/>
        <v>-180.36</v>
      </c>
      <c r="M67" s="2"/>
      <c r="N67" s="6">
        <f t="shared" si="33"/>
        <v>-0.21218823529411765</v>
      </c>
      <c r="O67" s="11"/>
      <c r="P67" s="7">
        <v>6098.53</v>
      </c>
      <c r="Q67" s="2"/>
      <c r="R67" s="6">
        <f t="shared" si="34"/>
        <v>0</v>
      </c>
      <c r="S67" s="2"/>
      <c r="T67" s="7">
        <v>8500</v>
      </c>
      <c r="U67" s="2"/>
      <c r="V67" s="6">
        <f t="shared" si="35"/>
        <v>1.6341785561167305E-2</v>
      </c>
      <c r="W67" s="2"/>
      <c r="X67" s="7">
        <f t="shared" si="36"/>
        <v>-2401.4700000000003</v>
      </c>
      <c r="Y67" s="2"/>
      <c r="Z67" s="6">
        <f t="shared" si="37"/>
        <v>-0.28252588235294118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30"/>
        <v>0</v>
      </c>
      <c r="G68" s="2"/>
      <c r="H68" s="7">
        <v>4152</v>
      </c>
      <c r="I68" s="2"/>
      <c r="J68" s="6">
        <f t="shared" si="31"/>
        <v>6.4548224612897206E-2</v>
      </c>
      <c r="K68" s="2"/>
      <c r="L68" s="7">
        <f t="shared" si="32"/>
        <v>-4152</v>
      </c>
      <c r="M68" s="2"/>
      <c r="N68" s="6">
        <f t="shared" si="33"/>
        <v>-1</v>
      </c>
      <c r="O68" s="11"/>
      <c r="P68" s="7"/>
      <c r="Q68" s="2"/>
      <c r="R68" s="6">
        <f t="shared" si="34"/>
        <v>0</v>
      </c>
      <c r="S68" s="2"/>
      <c r="T68" s="7">
        <v>39990</v>
      </c>
      <c r="U68" s="2"/>
      <c r="V68" s="6">
        <f t="shared" si="35"/>
        <v>7.6883294657774173E-2</v>
      </c>
      <c r="W68" s="2"/>
      <c r="X68" s="7">
        <f t="shared" si="36"/>
        <v>-39990</v>
      </c>
      <c r="Y68" s="2"/>
      <c r="Z68" s="6">
        <f t="shared" si="37"/>
        <v>-1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30"/>
        <v>0</v>
      </c>
      <c r="G69" s="2"/>
      <c r="H69" s="7">
        <v>1500</v>
      </c>
      <c r="I69" s="2"/>
      <c r="J69" s="6">
        <f t="shared" si="31"/>
        <v>2.3319445308127604E-2</v>
      </c>
      <c r="K69" s="2"/>
      <c r="L69" s="7">
        <f t="shared" si="32"/>
        <v>-1500</v>
      </c>
      <c r="M69" s="2"/>
      <c r="N69" s="6">
        <f t="shared" si="33"/>
        <v>-1</v>
      </c>
      <c r="O69" s="11"/>
      <c r="P69" s="7">
        <v>597.87</v>
      </c>
      <c r="Q69" s="2"/>
      <c r="R69" s="6">
        <f t="shared" si="34"/>
        <v>0</v>
      </c>
      <c r="S69" s="2"/>
      <c r="T69" s="7">
        <v>15000</v>
      </c>
      <c r="U69" s="2"/>
      <c r="V69" s="6">
        <f t="shared" si="35"/>
        <v>2.8838445107942302E-2</v>
      </c>
      <c r="W69" s="2"/>
      <c r="X69" s="7">
        <f t="shared" si="36"/>
        <v>-14402.13</v>
      </c>
      <c r="Y69" s="2"/>
      <c r="Z69" s="6">
        <f t="shared" si="37"/>
        <v>-0.96014199999999994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7" si="38">IF(D$12=0,0,D70/D$12)</f>
        <v>0</v>
      </c>
      <c r="G70" s="1"/>
      <c r="H70" s="1">
        <f>SUM(OSRRefH22_14x_0)</f>
        <v>5700</v>
      </c>
      <c r="I70" s="1"/>
      <c r="J70" s="5">
        <f t="shared" ref="J70:J77" si="39">IF(H$12=0,0,H70/H$12)</f>
        <v>8.8613892170884889E-2</v>
      </c>
      <c r="K70" s="1"/>
      <c r="L70" s="1">
        <f t="shared" ref="L70:L77" si="40">+D70-H70</f>
        <v>-5700</v>
      </c>
      <c r="M70" s="1"/>
      <c r="N70" s="5">
        <f t="shared" ref="N70:N77" si="41">IF(H70=0,0,L70/H70)</f>
        <v>-1</v>
      </c>
      <c r="O70" s="13"/>
      <c r="P70" s="1">
        <f>SUM(OSRRefP22_14x_0)</f>
        <v>96.7</v>
      </c>
      <c r="Q70" s="1"/>
      <c r="R70" s="5">
        <f t="shared" ref="R70:R77" si="42">IF(P$12=0,0,P70/P$12)</f>
        <v>0</v>
      </c>
      <c r="S70" s="1"/>
      <c r="T70" s="1">
        <f>SUM(OSRRefT22_14x_0)</f>
        <v>52860</v>
      </c>
      <c r="U70" s="1"/>
      <c r="V70" s="5">
        <f t="shared" ref="V70:V77" si="43">IF(T$12=0,0,T70/T$12)</f>
        <v>0.10162668056038866</v>
      </c>
      <c r="W70" s="1"/>
      <c r="X70" s="1">
        <f t="shared" ref="X70:X77" si="44">+P70-T70</f>
        <v>-52763.3</v>
      </c>
      <c r="Y70" s="1"/>
      <c r="Z70" s="5">
        <f t="shared" ref="Z70:Z77" si="45">IF(T70=0,0,X70/T70)</f>
        <v>-0.99817063942489603</v>
      </c>
    </row>
    <row r="71" spans="1:26" s="24" customFormat="1" hidden="1" outlineLevel="2" x14ac:dyDescent="0.25">
      <c r="A71" s="26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8"/>
        <v>0</v>
      </c>
      <c r="G71" s="2"/>
      <c r="H71" s="7">
        <v>3000</v>
      </c>
      <c r="I71" s="2"/>
      <c r="J71" s="6">
        <f t="shared" si="39"/>
        <v>4.6638890616255209E-2</v>
      </c>
      <c r="K71" s="2"/>
      <c r="L71" s="7">
        <f t="shared" si="40"/>
        <v>-3000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27000</v>
      </c>
      <c r="U71" s="2"/>
      <c r="V71" s="6">
        <f t="shared" si="43"/>
        <v>5.1909201194296137E-2</v>
      </c>
      <c r="W71" s="2"/>
      <c r="X71" s="7">
        <f t="shared" si="44"/>
        <v>-27000</v>
      </c>
      <c r="Y71" s="2"/>
      <c r="Z71" s="6">
        <f t="shared" si="45"/>
        <v>-1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8"/>
        <v>0</v>
      </c>
      <c r="G72" s="2"/>
      <c r="H72" s="7">
        <v>2000</v>
      </c>
      <c r="I72" s="2"/>
      <c r="J72" s="6">
        <f t="shared" si="39"/>
        <v>3.109259374417014E-2</v>
      </c>
      <c r="K72" s="2"/>
      <c r="L72" s="7">
        <f t="shared" si="40"/>
        <v>-2000</v>
      </c>
      <c r="M72" s="2"/>
      <c r="N72" s="6">
        <f t="shared" si="41"/>
        <v>-1</v>
      </c>
      <c r="O72" s="11"/>
      <c r="P72" s="7"/>
      <c r="Q72" s="2"/>
      <c r="R72" s="6">
        <f t="shared" si="42"/>
        <v>0</v>
      </c>
      <c r="S72" s="2"/>
      <c r="T72" s="7">
        <v>19000</v>
      </c>
      <c r="U72" s="2"/>
      <c r="V72" s="6">
        <f t="shared" si="43"/>
        <v>3.6528697136726913E-2</v>
      </c>
      <c r="W72" s="2"/>
      <c r="X72" s="7">
        <f t="shared" si="44"/>
        <v>-19000</v>
      </c>
      <c r="Y72" s="2"/>
      <c r="Z72" s="6">
        <f t="shared" si="45"/>
        <v>-1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8"/>
        <v>0</v>
      </c>
      <c r="G73" s="2"/>
      <c r="H73" s="7">
        <v>300</v>
      </c>
      <c r="I73" s="2"/>
      <c r="J73" s="6">
        <f t="shared" si="39"/>
        <v>4.6638890616255207E-3</v>
      </c>
      <c r="K73" s="2"/>
      <c r="L73" s="7">
        <f t="shared" si="40"/>
        <v>-300</v>
      </c>
      <c r="M73" s="2"/>
      <c r="N73" s="6">
        <f t="shared" si="41"/>
        <v>-1</v>
      </c>
      <c r="O73" s="11"/>
      <c r="P73" s="7"/>
      <c r="Q73" s="2"/>
      <c r="R73" s="6">
        <f t="shared" si="42"/>
        <v>0</v>
      </c>
      <c r="S73" s="2"/>
      <c r="T73" s="7">
        <v>2700</v>
      </c>
      <c r="U73" s="2"/>
      <c r="V73" s="6">
        <f t="shared" si="43"/>
        <v>5.1909201194296137E-3</v>
      </c>
      <c r="W73" s="2"/>
      <c r="X73" s="7">
        <f t="shared" si="44"/>
        <v>-2700</v>
      </c>
      <c r="Y73" s="2"/>
      <c r="Z73" s="6">
        <f t="shared" si="45"/>
        <v>-1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38"/>
        <v>0</v>
      </c>
      <c r="G74" s="2"/>
      <c r="H74" s="7">
        <v>250</v>
      </c>
      <c r="I74" s="2"/>
      <c r="J74" s="6">
        <f t="shared" si="39"/>
        <v>3.8865742180212676E-3</v>
      </c>
      <c r="K74" s="2"/>
      <c r="L74" s="7">
        <f t="shared" si="40"/>
        <v>-250</v>
      </c>
      <c r="M74" s="2"/>
      <c r="N74" s="6">
        <f t="shared" si="41"/>
        <v>-1</v>
      </c>
      <c r="O74" s="11"/>
      <c r="P74" s="7">
        <v>96.7</v>
      </c>
      <c r="Q74" s="2"/>
      <c r="R74" s="6">
        <f t="shared" si="42"/>
        <v>0</v>
      </c>
      <c r="S74" s="2"/>
      <c r="T74" s="7">
        <v>2250</v>
      </c>
      <c r="U74" s="2"/>
      <c r="V74" s="6">
        <f t="shared" si="43"/>
        <v>4.3257667661913447E-3</v>
      </c>
      <c r="W74" s="2"/>
      <c r="X74" s="7">
        <f t="shared" si="44"/>
        <v>-2153.3000000000002</v>
      </c>
      <c r="Y74" s="2"/>
      <c r="Z74" s="6">
        <f t="shared" si="45"/>
        <v>-0.95702222222222233</v>
      </c>
    </row>
    <row r="75" spans="1:26" s="24" customFormat="1" hidden="1" outlineLevel="2" x14ac:dyDescent="0.25">
      <c r="A75" s="26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60</v>
      </c>
      <c r="U75" s="2"/>
      <c r="V75" s="6">
        <f t="shared" si="43"/>
        <v>1.153537804317692E-4</v>
      </c>
      <c r="W75" s="2"/>
      <c r="X75" s="7">
        <f t="shared" si="44"/>
        <v>-60</v>
      </c>
      <c r="Y75" s="2"/>
      <c r="Z75" s="6">
        <f t="shared" si="45"/>
        <v>-1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/>
      <c r="Q76" s="2"/>
      <c r="R76" s="6">
        <f t="shared" si="42"/>
        <v>0</v>
      </c>
      <c r="S76" s="2"/>
      <c r="T76" s="7">
        <v>500</v>
      </c>
      <c r="U76" s="2"/>
      <c r="V76" s="6">
        <f t="shared" si="43"/>
        <v>9.6128150359807668E-4</v>
      </c>
      <c r="W76" s="2"/>
      <c r="X76" s="7">
        <f t="shared" si="44"/>
        <v>-500</v>
      </c>
      <c r="Y76" s="2"/>
      <c r="Z76" s="6">
        <f t="shared" si="45"/>
        <v>-1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8"/>
        <v>0</v>
      </c>
      <c r="G77" s="2"/>
      <c r="H77" s="7">
        <v>150</v>
      </c>
      <c r="I77" s="2"/>
      <c r="J77" s="6">
        <f t="shared" si="39"/>
        <v>2.3319445308127604E-3</v>
      </c>
      <c r="K77" s="2"/>
      <c r="L77" s="7">
        <f t="shared" si="40"/>
        <v>-150</v>
      </c>
      <c r="M77" s="2"/>
      <c r="N77" s="6">
        <f t="shared" si="41"/>
        <v>-1</v>
      </c>
      <c r="O77" s="11"/>
      <c r="P77" s="7"/>
      <c r="Q77" s="2"/>
      <c r="R77" s="6">
        <f t="shared" si="42"/>
        <v>0</v>
      </c>
      <c r="S77" s="2"/>
      <c r="T77" s="7">
        <v>1350</v>
      </c>
      <c r="U77" s="2"/>
      <c r="V77" s="6">
        <f t="shared" si="43"/>
        <v>2.5954600597148068E-3</v>
      </c>
      <c r="W77" s="2"/>
      <c r="X77" s="7">
        <f t="shared" si="44"/>
        <v>-1350</v>
      </c>
      <c r="Y77" s="2"/>
      <c r="Z77" s="6">
        <f t="shared" si="45"/>
        <v>-1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2.1764815620919096E-3</v>
      </c>
      <c r="K78" s="1"/>
      <c r="L78" s="1">
        <f t="shared" ref="L78:L80" si="48">+D78-H78</f>
        <v>-140</v>
      </c>
      <c r="M78" s="1"/>
      <c r="N78" s="5">
        <f t="shared" ref="N78:N80" si="49">IF(H78=0,0,L78/H78)</f>
        <v>-1</v>
      </c>
      <c r="O78" s="13"/>
      <c r="P78" s="1">
        <f>SUM(OSRRefP22_15x_0)</f>
        <v>579.63</v>
      </c>
      <c r="Q78" s="1"/>
      <c r="R78" s="5">
        <f t="shared" ref="R78:R80" si="50">IF(P$12=0,0,P78/P$12)</f>
        <v>0</v>
      </c>
      <c r="S78" s="1"/>
      <c r="T78" s="1">
        <f>SUM(OSRRefT22_15x_0)</f>
        <v>1400</v>
      </c>
      <c r="U78" s="1"/>
      <c r="V78" s="5">
        <f t="shared" ref="V78:V80" si="51">IF(T$12=0,0,T78/T$12)</f>
        <v>2.6915882100746148E-3</v>
      </c>
      <c r="W78" s="1"/>
      <c r="X78" s="1">
        <f t="shared" ref="X78:X80" si="52">+P78-T78</f>
        <v>-820.37</v>
      </c>
      <c r="Y78" s="1"/>
      <c r="Z78" s="5">
        <f t="shared" ref="Z78:Z80" si="53">IF(T78=0,0,X78/T78)</f>
        <v>-0.58597857142857146</v>
      </c>
    </row>
    <row r="79" spans="1:26" s="24" customFormat="1" hidden="1" outlineLevel="2" x14ac:dyDescent="0.25">
      <c r="A79" s="26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6"/>
        <v>0</v>
      </c>
      <c r="G79" s="2"/>
      <c r="H79" s="7">
        <v>140</v>
      </c>
      <c r="I79" s="2"/>
      <c r="J79" s="6">
        <f t="shared" si="47"/>
        <v>2.1764815620919096E-3</v>
      </c>
      <c r="K79" s="2"/>
      <c r="L79" s="7">
        <f t="shared" si="48"/>
        <v>-140</v>
      </c>
      <c r="M79" s="2"/>
      <c r="N79" s="6">
        <f t="shared" si="49"/>
        <v>-1</v>
      </c>
      <c r="O79" s="11"/>
      <c r="P79" s="7"/>
      <c r="Q79" s="2"/>
      <c r="R79" s="6">
        <f t="shared" si="50"/>
        <v>0</v>
      </c>
      <c r="S79" s="2"/>
      <c r="T79" s="7">
        <v>1400</v>
      </c>
      <c r="U79" s="2"/>
      <c r="V79" s="6">
        <f t="shared" si="51"/>
        <v>2.6915882100746148E-3</v>
      </c>
      <c r="W79" s="2"/>
      <c r="X79" s="7">
        <f t="shared" si="52"/>
        <v>-1400</v>
      </c>
      <c r="Y79" s="2"/>
      <c r="Z79" s="6">
        <f t="shared" si="53"/>
        <v>-1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7">
        <v>0</v>
      </c>
      <c r="E80" s="2"/>
      <c r="F80" s="6">
        <f t="shared" si="46"/>
        <v>0</v>
      </c>
      <c r="G80" s="2"/>
      <c r="H80" s="7"/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>
        <v>579.63</v>
      </c>
      <c r="Q80" s="2"/>
      <c r="R80" s="6">
        <f t="shared" si="50"/>
        <v>0</v>
      </c>
      <c r="S80" s="2"/>
      <c r="T80" s="7"/>
      <c r="U80" s="2"/>
      <c r="V80" s="6">
        <f t="shared" si="51"/>
        <v>0</v>
      </c>
      <c r="W80" s="2"/>
      <c r="X80" s="7">
        <f t="shared" si="52"/>
        <v>579.63</v>
      </c>
      <c r="Y80" s="2"/>
      <c r="Z80" s="6">
        <f t="shared" si="53"/>
        <v>0</v>
      </c>
    </row>
    <row r="81" spans="1:26" s="25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3.109259374417014E-3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3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2000</v>
      </c>
      <c r="U81" s="1"/>
      <c r="V81" s="5">
        <f t="shared" ref="V81:V82" si="59">IF(T$12=0,0,T81/T$12)</f>
        <v>3.8451260143923067E-3</v>
      </c>
      <c r="W81" s="1"/>
      <c r="X81" s="1">
        <f t="shared" ref="X81:X82" si="60">+P81-T81</f>
        <v>-2000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4"/>
        <v>0</v>
      </c>
      <c r="G82" s="2"/>
      <c r="H82" s="7">
        <v>200</v>
      </c>
      <c r="I82" s="2"/>
      <c r="J82" s="6">
        <f t="shared" si="55"/>
        <v>3.109259374417014E-3</v>
      </c>
      <c r="K82" s="2"/>
      <c r="L82" s="7">
        <f t="shared" si="56"/>
        <v>-200</v>
      </c>
      <c r="M82" s="2"/>
      <c r="N82" s="6">
        <f t="shared" si="57"/>
        <v>-1</v>
      </c>
      <c r="O82" s="11"/>
      <c r="P82" s="7"/>
      <c r="Q82" s="2"/>
      <c r="R82" s="6">
        <f t="shared" si="58"/>
        <v>0</v>
      </c>
      <c r="S82" s="2"/>
      <c r="T82" s="7">
        <v>2000</v>
      </c>
      <c r="U82" s="2"/>
      <c r="V82" s="6">
        <f t="shared" si="59"/>
        <v>3.8451260143923067E-3</v>
      </c>
      <c r="W82" s="2"/>
      <c r="X82" s="7">
        <f t="shared" si="60"/>
        <v>-2000</v>
      </c>
      <c r="Y82" s="2"/>
      <c r="Z82" s="6">
        <f t="shared" si="61"/>
        <v>-1</v>
      </c>
    </row>
    <row r="83" spans="1:26" s="61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1">
        <f>+D19-D21+D84</f>
        <v>-41903.239999999991</v>
      </c>
      <c r="E86" s="14"/>
      <c r="F86" s="20">
        <f>IF(D$12=0,0,D86/D$12)</f>
        <v>0</v>
      </c>
      <c r="G86" s="14"/>
      <c r="H86" s="21">
        <f>+H19-H21+H84</f>
        <v>-58055.612525734556</v>
      </c>
      <c r="I86" s="14"/>
      <c r="J86" s="20">
        <f>IF(H$12=0,0,H86/H$12)</f>
        <v>-0.90254978741580993</v>
      </c>
      <c r="K86" s="16"/>
      <c r="L86" s="21">
        <f>+D86-H86</f>
        <v>16152.372525734565</v>
      </c>
      <c r="M86" s="16"/>
      <c r="N86" s="20">
        <f>IF(H86=0,0,L86/H86)</f>
        <v>-0.27822241163289141</v>
      </c>
      <c r="O86" s="29"/>
      <c r="P86" s="21">
        <f>+P19-P21+P84</f>
        <v>-411167.14999999997</v>
      </c>
      <c r="Q86" s="14"/>
      <c r="R86" s="20">
        <f>IF(P$12=0,0,P86/P$12)</f>
        <v>0</v>
      </c>
      <c r="S86" s="14"/>
      <c r="T86" s="21">
        <f>+T19-T21+T84</f>
        <v>-552664.980563964</v>
      </c>
      <c r="U86" s="14"/>
      <c r="V86" s="20">
        <f>IF(T$12=0,0,T86/T$12)</f>
        <v>-1.0625332470050584</v>
      </c>
      <c r="W86" s="16"/>
      <c r="X86" s="21">
        <f>+P86-T86</f>
        <v>141497.83056396403</v>
      </c>
      <c r="Y86" s="16"/>
      <c r="Z86" s="20">
        <f>IF(T86=0,0,X86/T86)</f>
        <v>-0.25602821879463639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>
        <v>13615</v>
      </c>
      <c r="I88" s="4"/>
      <c r="J88" s="12">
        <f>IF(H$12=0,0,H88/H$12)</f>
        <v>0.21166283191343821</v>
      </c>
      <c r="K88" s="4"/>
      <c r="L88" s="4">
        <f>+D88-H88</f>
        <v>-13615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94221</v>
      </c>
      <c r="U88" s="4"/>
      <c r="V88" s="12">
        <f>IF(T$12=0,0,T88/T$12)</f>
        <v>0.18114580910102876</v>
      </c>
      <c r="W88" s="4"/>
      <c r="X88" s="4">
        <f>+P88-T88</f>
        <v>-94221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1">
        <f>+D86-D88</f>
        <v>-41903.239999999991</v>
      </c>
      <c r="E90" s="14"/>
      <c r="F90" s="33">
        <f>IF(D$12=0,0,D90/D$12)</f>
        <v>0</v>
      </c>
      <c r="G90" s="14"/>
      <c r="H90" s="31">
        <f>+H86-H88</f>
        <v>-71670.612525734556</v>
      </c>
      <c r="I90" s="14"/>
      <c r="J90" s="33">
        <f>IF(H$12=0,0,H90/H$12)</f>
        <v>-1.1142126193292481</v>
      </c>
      <c r="K90" s="16"/>
      <c r="L90" s="31">
        <f>D90-H90</f>
        <v>29767.372525734565</v>
      </c>
      <c r="M90" s="16"/>
      <c r="N90" s="33">
        <f>IF(H90=0,0,L90/H90)</f>
        <v>-0.41533581863900049</v>
      </c>
      <c r="O90" s="29"/>
      <c r="P90" s="31">
        <f>+P86-P88</f>
        <v>-411167.14999999997</v>
      </c>
      <c r="Q90" s="14"/>
      <c r="R90" s="33">
        <f>IF(P$12=0,0,P90/P$12)</f>
        <v>0</v>
      </c>
      <c r="S90" s="14"/>
      <c r="T90" s="31">
        <f>+T86-T88</f>
        <v>-646885.980563964</v>
      </c>
      <c r="U90" s="14"/>
      <c r="V90" s="33">
        <f>IF(T$12=0,0,T90/T$12)</f>
        <v>-1.2436790561060871</v>
      </c>
      <c r="W90" s="16"/>
      <c r="X90" s="31">
        <f>P90-T90</f>
        <v>235718.83056396403</v>
      </c>
      <c r="Y90" s="16"/>
      <c r="Z90" s="33">
        <f>IF(T90=0,0,X90/T90)</f>
        <v>-0.3643900743659047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4">
        <f>SUM(D90:D92)</f>
        <v>-41903.239999999991</v>
      </c>
      <c r="E93" s="14"/>
      <c r="F93" s="35">
        <f>IF(D$12=0,0,D93/D$12)</f>
        <v>0</v>
      </c>
      <c r="G93" s="14"/>
      <c r="H93" s="34">
        <f>SUM(H90:H92)</f>
        <v>-71670.612525734556</v>
      </c>
      <c r="I93" s="14"/>
      <c r="J93" s="35">
        <f>IF(H$12=0,0,H93/H$12)</f>
        <v>-1.1142126193292481</v>
      </c>
      <c r="K93" s="16"/>
      <c r="L93" s="34">
        <f>+D93-H93</f>
        <v>29767.372525734565</v>
      </c>
      <c r="M93" s="16"/>
      <c r="N93" s="35">
        <f>IF(H93=0,0,L93/H93)</f>
        <v>-0.41533581863900049</v>
      </c>
      <c r="O93" s="29"/>
      <c r="P93" s="34">
        <f>SUM(P90:P92)</f>
        <v>-411167.14999999997</v>
      </c>
      <c r="Q93" s="14"/>
      <c r="R93" s="35">
        <f>IF(P$12=0,0,P93/P$12)</f>
        <v>0</v>
      </c>
      <c r="S93" s="14"/>
      <c r="T93" s="34">
        <f>SUM(T90:T92)</f>
        <v>-646885.980563964</v>
      </c>
      <c r="U93" s="14"/>
      <c r="V93" s="35">
        <f>IF(T$12=0,0,T93/T$12)</f>
        <v>-1.2436790561060871</v>
      </c>
      <c r="W93" s="16"/>
      <c r="X93" s="34">
        <f>+P93-T93</f>
        <v>235718.83056396403</v>
      </c>
      <c r="Y93" s="16"/>
      <c r="Z93" s="35">
        <f>IF(T93=0,0,X93/T93)</f>
        <v>-0.3643900743659047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2">
        <v>44330.0058283912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105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33674</v>
      </c>
      <c r="E12" s="4"/>
      <c r="F12" s="12"/>
      <c r="G12" s="4"/>
      <c r="H12" s="4">
        <f>SUM(OSRRefH13x_0)</f>
        <v>41689</v>
      </c>
      <c r="I12" s="4"/>
      <c r="J12" s="12"/>
      <c r="K12" s="4"/>
      <c r="L12" s="4">
        <f t="shared" ref="L12:L13" si="0">+D12-H12</f>
        <v>-8015</v>
      </c>
      <c r="M12" s="4"/>
      <c r="N12" s="12">
        <f t="shared" ref="N12:N13" si="1">IF(H12=0,0,L12/H12)</f>
        <v>-0.19225695027465278</v>
      </c>
      <c r="O12" s="10"/>
      <c r="P12" s="4">
        <f>SUM(OSRRefP13x_0)</f>
        <v>477553</v>
      </c>
      <c r="Q12" s="4"/>
      <c r="R12" s="12"/>
      <c r="S12" s="4"/>
      <c r="T12" s="4">
        <f>SUM(OSRRefT13x_0)</f>
        <v>522796</v>
      </c>
      <c r="U12" s="4"/>
      <c r="V12" s="12"/>
      <c r="W12" s="4"/>
      <c r="X12" s="4">
        <f t="shared" ref="X12:X13" si="2">+P12-T12</f>
        <v>-45243</v>
      </c>
      <c r="Y12" s="4"/>
      <c r="Z12" s="12">
        <f t="shared" ref="Z12:Z13" si="3">IF(T12=0,0,X12/T12)</f>
        <v>-8.6540447899371833E-2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--33674</f>
        <v>33674</v>
      </c>
      <c r="E13" s="2"/>
      <c r="F13" s="19"/>
      <c r="G13" s="2"/>
      <c r="H13" s="2">
        <v>41689</v>
      </c>
      <c r="I13" s="2"/>
      <c r="J13" s="19"/>
      <c r="K13" s="2"/>
      <c r="L13" s="2">
        <f t="shared" si="0"/>
        <v>-8015</v>
      </c>
      <c r="M13" s="2"/>
      <c r="N13" s="19">
        <f t="shared" si="1"/>
        <v>-0.19225695027465278</v>
      </c>
      <c r="O13" s="11"/>
      <c r="P13" s="2">
        <f>--477553</f>
        <v>477553</v>
      </c>
      <c r="Q13" s="2"/>
      <c r="R13" s="19"/>
      <c r="S13" s="2"/>
      <c r="T13" s="2">
        <v>522796</v>
      </c>
      <c r="U13" s="2"/>
      <c r="V13" s="19"/>
      <c r="W13" s="2"/>
      <c r="X13" s="2">
        <f t="shared" si="2"/>
        <v>-45243</v>
      </c>
      <c r="Y13" s="2"/>
      <c r="Z13" s="19">
        <f t="shared" si="3"/>
        <v>-8.6540447899371833E-2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D12-D15</f>
        <v>33674</v>
      </c>
      <c r="E17" s="14"/>
      <c r="F17" s="20">
        <f>IF(D$12=0,0,D17/D$12)</f>
        <v>1</v>
      </c>
      <c r="G17" s="14"/>
      <c r="H17" s="21">
        <f>H12-H15</f>
        <v>41689</v>
      </c>
      <c r="I17" s="14"/>
      <c r="J17" s="20">
        <f>IF(H$12=0,0,H17/H$12)</f>
        <v>1</v>
      </c>
      <c r="K17" s="16"/>
      <c r="L17" s="21">
        <f>+D17-H17</f>
        <v>-8015</v>
      </c>
      <c r="M17" s="16"/>
      <c r="N17" s="20">
        <f>IF(H17=0,0,L17/H17)</f>
        <v>-0.19225695027465278</v>
      </c>
      <c r="O17" s="29"/>
      <c r="P17" s="21">
        <f>P12-P15</f>
        <v>477553</v>
      </c>
      <c r="Q17" s="14"/>
      <c r="R17" s="20">
        <f>IF(P$12=0,0,P17/P$12)</f>
        <v>1</v>
      </c>
      <c r="S17" s="14"/>
      <c r="T17" s="21">
        <f>T12-T15</f>
        <v>522796</v>
      </c>
      <c r="U17" s="14"/>
      <c r="V17" s="20">
        <f>IF(T$12=0,0,T17/T$12)</f>
        <v>1</v>
      </c>
      <c r="W17" s="16"/>
      <c r="X17" s="21">
        <f>+P17-T17</f>
        <v>-45243</v>
      </c>
      <c r="Y17" s="16"/>
      <c r="Z17" s="20">
        <f>IF(T17=0,0,X17/T17)</f>
        <v>-8.6540447899371833E-2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20096.279999999995</v>
      </c>
      <c r="E19" s="22"/>
      <c r="F19" s="32">
        <f t="shared" ref="F19:F30" si="4">IF(D$12=0,0,D19/D$12)</f>
        <v>0.59678921423056353</v>
      </c>
      <c r="G19" s="22"/>
      <c r="H19" s="22">
        <f>SUM(OSRRefH22x_0)</f>
        <v>38929.954448519231</v>
      </c>
      <c r="I19" s="22"/>
      <c r="J19" s="32">
        <f t="shared" ref="J19:J30" si="5">IF(H$12=0,0,H19/H$12)</f>
        <v>0.93381838011272111</v>
      </c>
      <c r="K19" s="4"/>
      <c r="L19" s="22">
        <f t="shared" ref="L19:L30" si="6">+D19-H19</f>
        <v>-18833.674448519236</v>
      </c>
      <c r="M19" s="4"/>
      <c r="N19" s="32">
        <f t="shared" ref="N19:N30" si="7">IF(H19=0,0,L19/H19)</f>
        <v>-0.48378362408373193</v>
      </c>
      <c r="O19" s="10"/>
      <c r="P19" s="22">
        <f>SUM(OSRRefP22x_0)</f>
        <v>388233.3</v>
      </c>
      <c r="Q19" s="22"/>
      <c r="R19" s="32">
        <f t="shared" ref="R19:R30" si="8">IF(P$12=0,0,P19/P$12)</f>
        <v>0.81296379668853502</v>
      </c>
      <c r="S19" s="22"/>
      <c r="T19" s="22">
        <f>SUM(OSRRefT22x_0)</f>
        <v>473835.75275191932</v>
      </c>
      <c r="U19" s="22"/>
      <c r="V19" s="32">
        <f t="shared" ref="V19:V30" si="9">IF(T$12=0,0,T19/T$12)</f>
        <v>0.90634923134821099</v>
      </c>
      <c r="W19" s="4"/>
      <c r="X19" s="22">
        <f t="shared" ref="X19:X30" si="10">+P19-T19</f>
        <v>-85602.452751919336</v>
      </c>
      <c r="Y19" s="4"/>
      <c r="Z19" s="32">
        <f t="shared" ref="Z19:Z30" si="11">IF(T19=0,0,X19/T19)</f>
        <v>-0.18065849243068244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4442.8100000000004</v>
      </c>
      <c r="E20" s="1"/>
      <c r="F20" s="5">
        <f t="shared" si="4"/>
        <v>0.131935914949219</v>
      </c>
      <c r="G20" s="1"/>
      <c r="H20" s="1">
        <f>SUM(OSRRefH22_0x_0)</f>
        <v>4215.7874869807692</v>
      </c>
      <c r="I20" s="1"/>
      <c r="J20" s="5">
        <f t="shared" si="5"/>
        <v>0.10112469685002684</v>
      </c>
      <c r="K20" s="1"/>
      <c r="L20" s="1">
        <f t="shared" si="6"/>
        <v>227.02251301923116</v>
      </c>
      <c r="M20" s="1"/>
      <c r="N20" s="5">
        <f t="shared" si="7"/>
        <v>5.3850559052211242E-2</v>
      </c>
      <c r="O20" s="13"/>
      <c r="P20" s="1">
        <f>SUM(OSRRefP22_0x_0)</f>
        <v>42945.78</v>
      </c>
      <c r="Q20" s="1"/>
      <c r="R20" s="5">
        <f t="shared" si="8"/>
        <v>8.9928824654017456E-2</v>
      </c>
      <c r="S20" s="1"/>
      <c r="T20" s="1">
        <f>SUM(OSRRefT22_0x_0)</f>
        <v>41414.550190380767</v>
      </c>
      <c r="U20" s="1"/>
      <c r="V20" s="5">
        <f t="shared" si="9"/>
        <v>7.9217419778232365E-2</v>
      </c>
      <c r="W20" s="1"/>
      <c r="X20" s="1">
        <f t="shared" si="10"/>
        <v>1531.2298096192317</v>
      </c>
      <c r="Y20" s="1"/>
      <c r="Z20" s="5">
        <f t="shared" si="11"/>
        <v>3.6973232899554363E-2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1265.6400000000001</v>
      </c>
      <c r="E21" s="2"/>
      <c r="F21" s="6">
        <f t="shared" si="4"/>
        <v>3.7585080477519753E-2</v>
      </c>
      <c r="G21" s="2"/>
      <c r="H21" s="7">
        <v>907.65624928846103</v>
      </c>
      <c r="I21" s="2"/>
      <c r="J21" s="6">
        <f t="shared" si="5"/>
        <v>2.1772080147963755E-2</v>
      </c>
      <c r="K21" s="2"/>
      <c r="L21" s="7">
        <f t="shared" si="6"/>
        <v>357.98375071153907</v>
      </c>
      <c r="M21" s="2"/>
      <c r="N21" s="6">
        <f t="shared" si="7"/>
        <v>0.39440454576517625</v>
      </c>
      <c r="O21" s="11"/>
      <c r="P21" s="7">
        <v>10347.290000000001</v>
      </c>
      <c r="Q21" s="2"/>
      <c r="R21" s="6">
        <f t="shared" si="8"/>
        <v>2.16673123192609E-2</v>
      </c>
      <c r="S21" s="2"/>
      <c r="T21" s="7">
        <v>9756.3747446884609</v>
      </c>
      <c r="U21" s="2"/>
      <c r="V21" s="6">
        <f t="shared" si="9"/>
        <v>1.866191544060869E-2</v>
      </c>
      <c r="W21" s="2"/>
      <c r="X21" s="7">
        <f t="shared" si="10"/>
        <v>590.91525531154002</v>
      </c>
      <c r="Y21" s="2"/>
      <c r="Z21" s="6">
        <f t="shared" si="11"/>
        <v>6.0567092877735609E-2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14.14</v>
      </c>
      <c r="E22" s="2"/>
      <c r="F22" s="6">
        <f t="shared" si="4"/>
        <v>4.1990853477460359E-4</v>
      </c>
      <c r="G22" s="2"/>
      <c r="H22" s="7">
        <v>387.43183846153897</v>
      </c>
      <c r="I22" s="2"/>
      <c r="J22" s="6">
        <f t="shared" si="5"/>
        <v>9.2933828698586914E-3</v>
      </c>
      <c r="K22" s="2"/>
      <c r="L22" s="7">
        <f t="shared" si="6"/>
        <v>-373.29183846153899</v>
      </c>
      <c r="M22" s="2"/>
      <c r="N22" s="6">
        <f t="shared" si="7"/>
        <v>-0.96350325761520061</v>
      </c>
      <c r="O22" s="11"/>
      <c r="P22" s="7">
        <v>782.22</v>
      </c>
      <c r="Q22" s="2"/>
      <c r="R22" s="6">
        <f t="shared" si="8"/>
        <v>1.6379752613846002E-3</v>
      </c>
      <c r="S22" s="2"/>
      <c r="T22" s="7">
        <v>3504.1505184615398</v>
      </c>
      <c r="U22" s="2"/>
      <c r="V22" s="6">
        <f t="shared" si="9"/>
        <v>6.7027110353972486E-3</v>
      </c>
      <c r="W22" s="2"/>
      <c r="X22" s="7">
        <f t="shared" si="10"/>
        <v>-2721.9305184615396</v>
      </c>
      <c r="Y22" s="2"/>
      <c r="Z22" s="6">
        <f t="shared" si="11"/>
        <v>-0.77677328759741016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3.5871889291441472E-2</v>
      </c>
      <c r="G23" s="2"/>
      <c r="H23" s="7">
        <v>1025</v>
      </c>
      <c r="I23" s="2"/>
      <c r="J23" s="6">
        <f t="shared" si="5"/>
        <v>2.4586821463695459E-2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12234.8</v>
      </c>
      <c r="Q23" s="2"/>
      <c r="R23" s="6">
        <f t="shared" si="8"/>
        <v>2.5619774140252495E-2</v>
      </c>
      <c r="S23" s="2"/>
      <c r="T23" s="7">
        <v>10582.5</v>
      </c>
      <c r="U23" s="2"/>
      <c r="V23" s="6">
        <f t="shared" si="9"/>
        <v>2.0242121209802677E-2</v>
      </c>
      <c r="W23" s="2"/>
      <c r="X23" s="7">
        <f t="shared" si="10"/>
        <v>1652.2999999999993</v>
      </c>
      <c r="Y23" s="2"/>
      <c r="Z23" s="6">
        <f t="shared" si="11"/>
        <v>0.15613512875029523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11.14</v>
      </c>
      <c r="E24" s="2"/>
      <c r="F24" s="6">
        <f t="shared" si="4"/>
        <v>3.3081902951832278E-4</v>
      </c>
      <c r="G24" s="2"/>
      <c r="H24" s="7">
        <v>54.44988</v>
      </c>
      <c r="I24" s="2"/>
      <c r="J24" s="6">
        <f t="shared" si="5"/>
        <v>1.3060970519801387E-3</v>
      </c>
      <c r="K24" s="2"/>
      <c r="L24" s="7">
        <f t="shared" si="6"/>
        <v>-43.30988</v>
      </c>
      <c r="M24" s="2"/>
      <c r="N24" s="6">
        <f t="shared" si="7"/>
        <v>-0.79540818088120668</v>
      </c>
      <c r="O24" s="11"/>
      <c r="P24" s="7">
        <v>358.12</v>
      </c>
      <c r="Q24" s="2"/>
      <c r="R24" s="6">
        <f t="shared" si="8"/>
        <v>7.4990629312348582E-4</v>
      </c>
      <c r="S24" s="2"/>
      <c r="T24" s="7">
        <v>492.47520800000001</v>
      </c>
      <c r="U24" s="2"/>
      <c r="V24" s="6">
        <f t="shared" si="9"/>
        <v>9.4200263200177508E-4</v>
      </c>
      <c r="W24" s="2"/>
      <c r="X24" s="7">
        <f t="shared" si="10"/>
        <v>-134.355208</v>
      </c>
      <c r="Y24" s="2"/>
      <c r="Z24" s="6">
        <f t="shared" si="11"/>
        <v>-0.27281618610941327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1.9016154896953141E-2</v>
      </c>
      <c r="G25" s="2"/>
      <c r="H25" s="7">
        <v>700.15494230769195</v>
      </c>
      <c r="I25" s="2"/>
      <c r="J25" s="6">
        <f t="shared" si="5"/>
        <v>1.6794716647261676E-2</v>
      </c>
      <c r="K25" s="2"/>
      <c r="L25" s="7">
        <f t="shared" si="6"/>
        <v>-59.804942307691931</v>
      </c>
      <c r="M25" s="2"/>
      <c r="N25" s="6">
        <f t="shared" si="7"/>
        <v>-8.5416725204533223E-2</v>
      </c>
      <c r="O25" s="11"/>
      <c r="P25" s="7">
        <v>7701.28</v>
      </c>
      <c r="Q25" s="2"/>
      <c r="R25" s="6">
        <f t="shared" si="8"/>
        <v>1.6126545116458276E-2</v>
      </c>
      <c r="S25" s="2"/>
      <c r="T25" s="7">
        <v>6406.7107423076905</v>
      </c>
      <c r="U25" s="2"/>
      <c r="V25" s="6">
        <f t="shared" si="9"/>
        <v>1.225470497537795E-2</v>
      </c>
      <c r="W25" s="2"/>
      <c r="X25" s="7">
        <f t="shared" si="10"/>
        <v>1294.5692576923093</v>
      </c>
      <c r="Y25" s="2"/>
      <c r="Z25" s="6">
        <f t="shared" si="11"/>
        <v>0.20206457100418534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74.67</v>
      </c>
      <c r="E27" s="2"/>
      <c r="F27" s="6">
        <f t="shared" si="4"/>
        <v>2.2174377858288296E-3</v>
      </c>
      <c r="G27" s="2"/>
      <c r="H27" s="7"/>
      <c r="I27" s="2"/>
      <c r="J27" s="6">
        <f t="shared" si="5"/>
        <v>0</v>
      </c>
      <c r="K27" s="2"/>
      <c r="L27" s="7">
        <f t="shared" si="6"/>
        <v>74.67</v>
      </c>
      <c r="M27" s="2"/>
      <c r="N27" s="6">
        <f t="shared" si="7"/>
        <v>0</v>
      </c>
      <c r="O27" s="11"/>
      <c r="P27" s="7">
        <v>889.45</v>
      </c>
      <c r="Q27" s="2"/>
      <c r="R27" s="6">
        <f t="shared" si="8"/>
        <v>1.8625157835884185E-3</v>
      </c>
      <c r="S27" s="2"/>
      <c r="T27" s="7"/>
      <c r="U27" s="2"/>
      <c r="V27" s="6">
        <f t="shared" si="9"/>
        <v>0</v>
      </c>
      <c r="W27" s="2"/>
      <c r="X27" s="7">
        <f t="shared" si="10"/>
        <v>889.45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780.03</v>
      </c>
      <c r="E28" s="2"/>
      <c r="F28" s="6">
        <f t="shared" si="4"/>
        <v>2.3164162261685571E-2</v>
      </c>
      <c r="G28" s="2"/>
      <c r="H28" s="7">
        <v>244.240096153846</v>
      </c>
      <c r="I28" s="2"/>
      <c r="J28" s="6">
        <f t="shared" si="5"/>
        <v>5.8586220862540716E-3</v>
      </c>
      <c r="K28" s="2"/>
      <c r="L28" s="7">
        <f t="shared" si="6"/>
        <v>535.78990384615395</v>
      </c>
      <c r="M28" s="2"/>
      <c r="N28" s="6">
        <f t="shared" si="7"/>
        <v>2.1937016578500761</v>
      </c>
      <c r="O28" s="11"/>
      <c r="P28" s="7">
        <v>5720.22</v>
      </c>
      <c r="Q28" s="2"/>
      <c r="R28" s="6">
        <f t="shared" si="8"/>
        <v>1.1978188808362633E-2</v>
      </c>
      <c r="S28" s="2"/>
      <c r="T28" s="7">
        <v>2234.8990961538502</v>
      </c>
      <c r="U28" s="2"/>
      <c r="V28" s="6">
        <f t="shared" si="9"/>
        <v>4.2748970844341773E-3</v>
      </c>
      <c r="W28" s="2"/>
      <c r="X28" s="7">
        <f t="shared" si="10"/>
        <v>3485.32090384615</v>
      </c>
      <c r="Y28" s="2"/>
      <c r="Z28" s="6">
        <f t="shared" si="11"/>
        <v>1.5594981043413607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448.89</v>
      </c>
      <c r="E29" s="2"/>
      <c r="F29" s="6">
        <f t="shared" si="4"/>
        <v>1.3330462671497297E-2</v>
      </c>
      <c r="G29" s="2"/>
      <c r="H29" s="7">
        <v>546.85448076923103</v>
      </c>
      <c r="I29" s="2"/>
      <c r="J29" s="6">
        <f t="shared" si="5"/>
        <v>1.3117476571019478E-2</v>
      </c>
      <c r="K29" s="2"/>
      <c r="L29" s="7">
        <f t="shared" si="6"/>
        <v>-97.964480769231045</v>
      </c>
      <c r="M29" s="2"/>
      <c r="N29" s="6">
        <f t="shared" si="7"/>
        <v>-0.17914177210622767</v>
      </c>
      <c r="O29" s="11"/>
      <c r="P29" s="7">
        <v>3291.87</v>
      </c>
      <c r="Q29" s="2"/>
      <c r="R29" s="6">
        <f t="shared" si="8"/>
        <v>6.8932034768915702E-3</v>
      </c>
      <c r="S29" s="2"/>
      <c r="T29" s="7">
        <v>4937.4398807692296</v>
      </c>
      <c r="U29" s="2"/>
      <c r="V29" s="6">
        <f t="shared" si="9"/>
        <v>9.4442954436706281E-3</v>
      </c>
      <c r="W29" s="2"/>
      <c r="X29" s="7">
        <f t="shared" si="10"/>
        <v>-1645.5698807692297</v>
      </c>
      <c r="Y29" s="2"/>
      <c r="Z29" s="6">
        <f t="shared" si="11"/>
        <v>-0.33328403393397021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8.3955000119935713E-3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>
        <v>1620.53</v>
      </c>
      <c r="Q30" s="2"/>
      <c r="R30" s="6">
        <f t="shared" si="8"/>
        <v>3.3934034546950808E-3</v>
      </c>
      <c r="S30" s="2"/>
      <c r="T30" s="7">
        <v>3500</v>
      </c>
      <c r="U30" s="2"/>
      <c r="V30" s="6">
        <f t="shared" si="9"/>
        <v>6.694771956939227E-3</v>
      </c>
      <c r="W30" s="2"/>
      <c r="X30" s="7">
        <f t="shared" si="10"/>
        <v>-1879.47</v>
      </c>
      <c r="Y30" s="2"/>
      <c r="Z30" s="6">
        <f t="shared" si="11"/>
        <v>-0.53699142857142856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12186.69</v>
      </c>
      <c r="E31" s="1"/>
      <c r="F31" s="5">
        <f t="shared" ref="F31:F41" si="12">IF(D$12=0,0,D31/D$12)</f>
        <v>0.3619020609372216</v>
      </c>
      <c r="G31" s="1"/>
      <c r="H31" s="1">
        <f>SUM(OSRRefH22_1x_0)</f>
        <v>20151.16696153846</v>
      </c>
      <c r="I31" s="1"/>
      <c r="J31" s="5">
        <f t="shared" ref="J31:J41" si="13">IF(H$12=0,0,H31/H$12)</f>
        <v>0.48336892133508741</v>
      </c>
      <c r="K31" s="1"/>
      <c r="L31" s="1">
        <f t="shared" ref="L31:L41" si="14">+D31-H31</f>
        <v>-7964.4769615384594</v>
      </c>
      <c r="M31" s="1"/>
      <c r="N31" s="5">
        <f t="shared" ref="N31:N41" si="15">IF(H31=0,0,L31/H31)</f>
        <v>-0.39523651293941758</v>
      </c>
      <c r="O31" s="13"/>
      <c r="P31" s="1">
        <f>SUM(OSRRefP22_1x_0)</f>
        <v>140334.41</v>
      </c>
      <c r="Q31" s="1"/>
      <c r="R31" s="5">
        <f t="shared" ref="R31:R41" si="16">IF(P$12=0,0,P31/P$12)</f>
        <v>0.29386143527524694</v>
      </c>
      <c r="S31" s="1"/>
      <c r="T31" s="1">
        <f>SUM(OSRRefT22_1x_0)</f>
        <v>182241.20256153849</v>
      </c>
      <c r="U31" s="1"/>
      <c r="V31" s="5">
        <f t="shared" ref="V31:V41" si="17">IF(T$12=0,0,T31/T$12)</f>
        <v>0.34858951208796257</v>
      </c>
      <c r="W31" s="1"/>
      <c r="X31" s="1">
        <f t="shared" ref="X31:X41" si="18">+P31-T31</f>
        <v>-41906.792561538488</v>
      </c>
      <c r="Y31" s="1"/>
      <c r="Z31" s="5">
        <f t="shared" ref="Z31:Z41" si="19">IF(T31=0,0,X31/T31)</f>
        <v>-0.2299523487142682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4416.3900000000003</v>
      </c>
      <c r="E32" s="2"/>
      <c r="F32" s="6">
        <f t="shared" si="12"/>
        <v>0.13115133337292867</v>
      </c>
      <c r="G32" s="2"/>
      <c r="H32" s="7">
        <v>5024.0384615384601</v>
      </c>
      <c r="I32" s="2"/>
      <c r="J32" s="6">
        <f t="shared" si="13"/>
        <v>0.12051232846886373</v>
      </c>
      <c r="K32" s="2"/>
      <c r="L32" s="7">
        <f t="shared" si="14"/>
        <v>-607.64846153845974</v>
      </c>
      <c r="M32" s="2"/>
      <c r="N32" s="6">
        <f t="shared" si="15"/>
        <v>-0.12094821052631546</v>
      </c>
      <c r="O32" s="11"/>
      <c r="P32" s="7">
        <v>43739.44</v>
      </c>
      <c r="Q32" s="2"/>
      <c r="R32" s="6">
        <f t="shared" si="16"/>
        <v>9.1590755371655092E-2</v>
      </c>
      <c r="S32" s="2"/>
      <c r="T32" s="7">
        <v>44211.538461538497</v>
      </c>
      <c r="U32" s="2"/>
      <c r="V32" s="6">
        <f t="shared" si="17"/>
        <v>8.4567476532985131E-2</v>
      </c>
      <c r="W32" s="2"/>
      <c r="X32" s="7">
        <f t="shared" si="18"/>
        <v>-472.09846153849503</v>
      </c>
      <c r="Y32" s="2"/>
      <c r="Z32" s="6">
        <f t="shared" si="19"/>
        <v>-1.067817311874803E-2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2395.9899999999998</v>
      </c>
      <c r="E33" s="2"/>
      <c r="F33" s="6">
        <f t="shared" si="12"/>
        <v>7.1152521232998742E-2</v>
      </c>
      <c r="G33" s="2"/>
      <c r="H33" s="7">
        <v>2710.2312499999998</v>
      </c>
      <c r="I33" s="2"/>
      <c r="J33" s="6">
        <f t="shared" si="13"/>
        <v>6.501070426251529E-2</v>
      </c>
      <c r="K33" s="2"/>
      <c r="L33" s="7">
        <f t="shared" si="14"/>
        <v>-314.24125000000004</v>
      </c>
      <c r="M33" s="2"/>
      <c r="N33" s="6">
        <f t="shared" si="15"/>
        <v>-0.11594628687127714</v>
      </c>
      <c r="O33" s="11"/>
      <c r="P33" s="7">
        <v>23507.68</v>
      </c>
      <c r="Q33" s="2"/>
      <c r="R33" s="6">
        <f t="shared" si="16"/>
        <v>4.9225279707173865E-2</v>
      </c>
      <c r="S33" s="2"/>
      <c r="T33" s="7">
        <v>26560.266250000001</v>
      </c>
      <c r="U33" s="2"/>
      <c r="V33" s="6">
        <f t="shared" si="17"/>
        <v>5.0804264474096972E-2</v>
      </c>
      <c r="W33" s="2"/>
      <c r="X33" s="7">
        <f t="shared" si="18"/>
        <v>-3052.5862500000003</v>
      </c>
      <c r="Y33" s="2"/>
      <c r="Z33" s="6">
        <f t="shared" si="19"/>
        <v>-0.11493055910160541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3607.2359999999999</v>
      </c>
      <c r="I35" s="2"/>
      <c r="J35" s="6">
        <f t="shared" si="13"/>
        <v>8.6527285375038981E-2</v>
      </c>
      <c r="K35" s="2"/>
      <c r="L35" s="7">
        <f t="shared" si="14"/>
        <v>-3607.2359999999999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30446.049599999998</v>
      </c>
      <c r="U35" s="2"/>
      <c r="V35" s="6">
        <f t="shared" si="17"/>
        <v>5.8236959731903071E-2</v>
      </c>
      <c r="W35" s="2"/>
      <c r="X35" s="7">
        <f t="shared" si="18"/>
        <v>-30446.049599999998</v>
      </c>
      <c r="Y35" s="2"/>
      <c r="Z35" s="6">
        <f t="shared" si="19"/>
        <v>-1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>
        <v>6926.31</v>
      </c>
      <c r="E36" s="2"/>
      <c r="F36" s="6">
        <f t="shared" si="12"/>
        <v>0.20568717705054346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6926.31</v>
      </c>
      <c r="M36" s="2"/>
      <c r="N36" s="6">
        <f t="shared" si="15"/>
        <v>0</v>
      </c>
      <c r="O36" s="11"/>
      <c r="P36" s="7">
        <v>64897.63</v>
      </c>
      <c r="Q36" s="2"/>
      <c r="R36" s="6">
        <f t="shared" si="16"/>
        <v>0.13589618325086431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64897.63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>
        <v>-1552</v>
      </c>
      <c r="E38" s="2"/>
      <c r="F38" s="6">
        <f t="shared" si="12"/>
        <v>-4.6088970719249271E-2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-1552</v>
      </c>
      <c r="M38" s="2"/>
      <c r="N38" s="6">
        <f t="shared" si="15"/>
        <v>0</v>
      </c>
      <c r="O38" s="11"/>
      <c r="P38" s="7">
        <v>4277.78</v>
      </c>
      <c r="Q38" s="2"/>
      <c r="R38" s="6">
        <f t="shared" si="16"/>
        <v>8.9577073120679796E-3</v>
      </c>
      <c r="S38" s="2"/>
      <c r="T38" s="7">
        <v>20952</v>
      </c>
      <c r="U38" s="2"/>
      <c r="V38" s="6">
        <f t="shared" si="17"/>
        <v>4.0076817726225906E-2</v>
      </c>
      <c r="W38" s="2"/>
      <c r="X38" s="7">
        <f t="shared" si="18"/>
        <v>-16674.22</v>
      </c>
      <c r="Y38" s="2"/>
      <c r="Z38" s="6">
        <f t="shared" si="19"/>
        <v>-0.79582951508209243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8809.6612499999992</v>
      </c>
      <c r="I39" s="2"/>
      <c r="J39" s="6">
        <f t="shared" si="13"/>
        <v>0.21131860322866941</v>
      </c>
      <c r="K39" s="2"/>
      <c r="L39" s="7">
        <f t="shared" si="14"/>
        <v>-8809.6612499999992</v>
      </c>
      <c r="M39" s="2"/>
      <c r="N39" s="6">
        <f t="shared" si="15"/>
        <v>-1</v>
      </c>
      <c r="O39" s="11"/>
      <c r="P39" s="7">
        <v>3911.88</v>
      </c>
      <c r="Q39" s="2"/>
      <c r="R39" s="6">
        <f t="shared" si="16"/>
        <v>8.1915096334857079E-3</v>
      </c>
      <c r="S39" s="2"/>
      <c r="T39" s="7">
        <v>60071.348250000003</v>
      </c>
      <c r="U39" s="2"/>
      <c r="V39" s="6">
        <f t="shared" si="17"/>
        <v>0.11490399362275151</v>
      </c>
      <c r="W39" s="2"/>
      <c r="X39" s="7">
        <f t="shared" si="18"/>
        <v>-56159.468250000005</v>
      </c>
      <c r="Y39" s="2"/>
      <c r="Z39" s="6">
        <f t="shared" si="19"/>
        <v>-0.93487943730312395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2.3987142891410203E-3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3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1000</v>
      </c>
      <c r="U42" s="1"/>
      <c r="V42" s="5">
        <f t="shared" ref="V42:V50" si="25">IF(T$12=0,0,T42/T$12)</f>
        <v>1.9127919876969219E-3</v>
      </c>
      <c r="W42" s="1"/>
      <c r="X42" s="1">
        <f t="shared" ref="X42:X50" si="26">+P42-T42</f>
        <v>-1000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2.3987142891410203E-3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1000</v>
      </c>
      <c r="U43" s="2"/>
      <c r="V43" s="6">
        <f t="shared" si="25"/>
        <v>1.9127919876969219E-3</v>
      </c>
      <c r="W43" s="2"/>
      <c r="X43" s="7">
        <f t="shared" si="26"/>
        <v>-1000</v>
      </c>
      <c r="Y43" s="2"/>
      <c r="Z43" s="6">
        <f t="shared" si="27"/>
        <v>-1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50.67</v>
      </c>
      <c r="E44" s="1"/>
      <c r="F44" s="5">
        <f t="shared" si="20"/>
        <v>1.5047217437785829E-3</v>
      </c>
      <c r="G44" s="1"/>
      <c r="H44" s="1">
        <f>SUM(OSRRefH22_3x_0)</f>
        <v>2000</v>
      </c>
      <c r="I44" s="1"/>
      <c r="J44" s="5">
        <f t="shared" si="21"/>
        <v>4.7974285782820411E-2</v>
      </c>
      <c r="K44" s="1"/>
      <c r="L44" s="1">
        <f t="shared" si="22"/>
        <v>-1949.33</v>
      </c>
      <c r="M44" s="1"/>
      <c r="N44" s="5">
        <f t="shared" si="23"/>
        <v>-0.974665</v>
      </c>
      <c r="O44" s="13"/>
      <c r="P44" s="1">
        <f>SUM(OSRRefP22_3x_0)</f>
        <v>803.94</v>
      </c>
      <c r="Q44" s="1"/>
      <c r="R44" s="5">
        <f t="shared" si="24"/>
        <v>1.683457124130725E-3</v>
      </c>
      <c r="S44" s="1"/>
      <c r="T44" s="1">
        <f>SUM(OSRRefT22_3x_0)</f>
        <v>17700</v>
      </c>
      <c r="U44" s="1"/>
      <c r="V44" s="5">
        <f t="shared" si="25"/>
        <v>3.3856418182235518E-2</v>
      </c>
      <c r="W44" s="1"/>
      <c r="X44" s="1">
        <f t="shared" si="26"/>
        <v>-16896.060000000001</v>
      </c>
      <c r="Y44" s="1"/>
      <c r="Z44" s="5">
        <f t="shared" si="27"/>
        <v>-0.95457966101694924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>
        <v>50.67</v>
      </c>
      <c r="E45" s="2"/>
      <c r="F45" s="6">
        <f t="shared" si="20"/>
        <v>1.5047217437785829E-3</v>
      </c>
      <c r="G45" s="2"/>
      <c r="H45" s="7">
        <v>2000</v>
      </c>
      <c r="I45" s="2"/>
      <c r="J45" s="6">
        <f t="shared" si="21"/>
        <v>4.7974285782820411E-2</v>
      </c>
      <c r="K45" s="2"/>
      <c r="L45" s="7">
        <f t="shared" si="22"/>
        <v>-1949.33</v>
      </c>
      <c r="M45" s="2"/>
      <c r="N45" s="6">
        <f t="shared" si="23"/>
        <v>-0.974665</v>
      </c>
      <c r="O45" s="11"/>
      <c r="P45" s="7">
        <v>803.94</v>
      </c>
      <c r="Q45" s="2"/>
      <c r="R45" s="6">
        <f t="shared" si="24"/>
        <v>1.683457124130725E-3</v>
      </c>
      <c r="S45" s="2"/>
      <c r="T45" s="7">
        <v>17700</v>
      </c>
      <c r="U45" s="2"/>
      <c r="V45" s="6">
        <f t="shared" si="25"/>
        <v>3.3856418182235518E-2</v>
      </c>
      <c r="W45" s="2"/>
      <c r="X45" s="7">
        <f t="shared" si="26"/>
        <v>-16896.060000000001</v>
      </c>
      <c r="Y45" s="2"/>
      <c r="Z45" s="6">
        <f t="shared" si="27"/>
        <v>-0.95457966101694924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4.797428578282041E-4</v>
      </c>
      <c r="K46" s="1"/>
      <c r="L46" s="1">
        <f t="shared" si="22"/>
        <v>-20</v>
      </c>
      <c r="M46" s="1"/>
      <c r="N46" s="5">
        <f t="shared" si="23"/>
        <v>-1</v>
      </c>
      <c r="O46" s="13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200</v>
      </c>
      <c r="U46" s="1"/>
      <c r="V46" s="5">
        <f t="shared" si="25"/>
        <v>3.8255839753938441E-4</v>
      </c>
      <c r="W46" s="1"/>
      <c r="X46" s="1">
        <f t="shared" si="26"/>
        <v>-200</v>
      </c>
      <c r="Y46" s="1"/>
      <c r="Z46" s="5">
        <f t="shared" si="27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4.797428578282041E-4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200</v>
      </c>
      <c r="U47" s="2"/>
      <c r="V47" s="6">
        <f t="shared" si="25"/>
        <v>3.8255839753938441E-4</v>
      </c>
      <c r="W47" s="2"/>
      <c r="X47" s="7">
        <f t="shared" si="26"/>
        <v>-200</v>
      </c>
      <c r="Y47" s="2"/>
      <c r="Z47" s="6">
        <f t="shared" si="27"/>
        <v>-1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2.3987142891410205E-4</v>
      </c>
      <c r="K48" s="1"/>
      <c r="L48" s="1">
        <f t="shared" si="22"/>
        <v>-10</v>
      </c>
      <c r="M48" s="1"/>
      <c r="N48" s="5">
        <f t="shared" si="23"/>
        <v>-1</v>
      </c>
      <c r="O48" s="13"/>
      <c r="P48" s="1">
        <f>SUM(OSRRefP22_5x_0)</f>
        <v>2.12</v>
      </c>
      <c r="Q48" s="1"/>
      <c r="R48" s="5">
        <f t="shared" si="24"/>
        <v>4.4392978370987095E-6</v>
      </c>
      <c r="S48" s="1"/>
      <c r="T48" s="1">
        <f>SUM(OSRRefT22_5x_0)</f>
        <v>100</v>
      </c>
      <c r="U48" s="1"/>
      <c r="V48" s="5">
        <f t="shared" si="25"/>
        <v>1.912791987696922E-4</v>
      </c>
      <c r="W48" s="1"/>
      <c r="X48" s="1">
        <f t="shared" si="26"/>
        <v>-97.88</v>
      </c>
      <c r="Y48" s="1"/>
      <c r="Z48" s="5">
        <f t="shared" si="27"/>
        <v>-0.9788</v>
      </c>
    </row>
    <row r="49" spans="1:26" s="24" customFormat="1" hidden="1" outlineLevel="2" x14ac:dyDescent="0.25">
      <c r="A49" s="26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3.3922936302358064E-6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2.3987142891410205E-4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1.0470042068629033E-6</v>
      </c>
      <c r="S50" s="2"/>
      <c r="T50" s="7">
        <v>100</v>
      </c>
      <c r="U50" s="2"/>
      <c r="V50" s="6">
        <f t="shared" si="25"/>
        <v>1.912791987696922E-4</v>
      </c>
      <c r="W50" s="2"/>
      <c r="X50" s="7">
        <f t="shared" si="26"/>
        <v>-99.5</v>
      </c>
      <c r="Y50" s="2"/>
      <c r="Z50" s="6">
        <f t="shared" si="27"/>
        <v>-0.995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1.1993571445705101E-3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3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500</v>
      </c>
      <c r="U51" s="1"/>
      <c r="V51" s="5">
        <f t="shared" ref="V51:V61" si="33">IF(T$12=0,0,T51/T$12)</f>
        <v>9.5639599384846096E-4</v>
      </c>
      <c r="W51" s="1"/>
      <c r="X51" s="1">
        <f t="shared" ref="X51:X61" si="34">+P51-T51</f>
        <v>-500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1.1993571445705101E-3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500</v>
      </c>
      <c r="U52" s="2"/>
      <c r="V52" s="6">
        <f t="shared" si="33"/>
        <v>9.5639599384846096E-4</v>
      </c>
      <c r="W52" s="2"/>
      <c r="X52" s="7">
        <f t="shared" si="34"/>
        <v>-500</v>
      </c>
      <c r="Y52" s="2"/>
      <c r="Z52" s="6">
        <f t="shared" si="35"/>
        <v>-1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SUM(OSRRefD22_7x_0)</f>
        <v>29.01</v>
      </c>
      <c r="E53" s="1"/>
      <c r="F53" s="5">
        <f t="shared" si="28"/>
        <v>8.6149551582823548E-4</v>
      </c>
      <c r="G53" s="1"/>
      <c r="H53" s="1">
        <f>SUM(OSRRefH22_7x_0)</f>
        <v>33</v>
      </c>
      <c r="I53" s="1"/>
      <c r="J53" s="5">
        <f t="shared" si="29"/>
        <v>7.9157571541653676E-4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3"/>
      <c r="P53" s="1">
        <f>SUM(OSRRefP22_7x_0)</f>
        <v>290.10000000000002</v>
      </c>
      <c r="Q53" s="1"/>
      <c r="R53" s="5">
        <f t="shared" si="32"/>
        <v>6.0747184082185642E-4</v>
      </c>
      <c r="S53" s="1"/>
      <c r="T53" s="1">
        <f>SUM(OSRRefT22_7x_0)</f>
        <v>330</v>
      </c>
      <c r="U53" s="1"/>
      <c r="V53" s="5">
        <f t="shared" si="33"/>
        <v>6.3122135593998425E-4</v>
      </c>
      <c r="W53" s="1"/>
      <c r="X53" s="1">
        <f t="shared" si="34"/>
        <v>-39.899999999999977</v>
      </c>
      <c r="Y53" s="1"/>
      <c r="Z53" s="5">
        <f t="shared" si="35"/>
        <v>-0.12090909090909084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8.6149551582823548E-4</v>
      </c>
      <c r="G54" s="2"/>
      <c r="H54" s="7">
        <v>33</v>
      </c>
      <c r="I54" s="2"/>
      <c r="J54" s="6">
        <f t="shared" si="29"/>
        <v>7.9157571541653676E-4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290.10000000000002</v>
      </c>
      <c r="Q54" s="2"/>
      <c r="R54" s="6">
        <f t="shared" si="32"/>
        <v>6.0747184082185642E-4</v>
      </c>
      <c r="S54" s="2"/>
      <c r="T54" s="7">
        <v>330</v>
      </c>
      <c r="U54" s="2"/>
      <c r="V54" s="6">
        <f t="shared" si="33"/>
        <v>6.3122135593998425E-4</v>
      </c>
      <c r="W54" s="2"/>
      <c r="X54" s="7">
        <f t="shared" si="34"/>
        <v>-39.899999999999977</v>
      </c>
      <c r="Y54" s="2"/>
      <c r="Z54" s="6">
        <f t="shared" si="35"/>
        <v>-0.12090909090909084</v>
      </c>
    </row>
    <row r="55" spans="1:26" s="25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SUM(OSRRefD22_8x_0)</f>
        <v>800</v>
      </c>
      <c r="E55" s="1"/>
      <c r="F55" s="5">
        <f t="shared" si="28"/>
        <v>2.3757201401674883E-2</v>
      </c>
      <c r="G55" s="1"/>
      <c r="H55" s="1">
        <f>SUM(OSRRefH22_8x_0)</f>
        <v>800</v>
      </c>
      <c r="I55" s="1"/>
      <c r="J55" s="5">
        <f t="shared" si="29"/>
        <v>1.9189714313128162E-2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SUM(OSRRefP22_8x_0)</f>
        <v>8000</v>
      </c>
      <c r="Q55" s="1"/>
      <c r="R55" s="5">
        <f t="shared" si="32"/>
        <v>1.675206730980645E-2</v>
      </c>
      <c r="S55" s="1"/>
      <c r="T55" s="1">
        <f>SUM(OSRRefT22_8x_0)</f>
        <v>8000</v>
      </c>
      <c r="U55" s="1"/>
      <c r="V55" s="5">
        <f t="shared" si="33"/>
        <v>1.5302335901575375E-2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2.3757201401674883E-2</v>
      </c>
      <c r="G56" s="2"/>
      <c r="H56" s="7">
        <v>800</v>
      </c>
      <c r="I56" s="2"/>
      <c r="J56" s="6">
        <f t="shared" si="29"/>
        <v>1.9189714313128162E-2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8000</v>
      </c>
      <c r="Q56" s="2"/>
      <c r="R56" s="6">
        <f t="shared" si="32"/>
        <v>1.675206730980645E-2</v>
      </c>
      <c r="S56" s="2"/>
      <c r="T56" s="7">
        <v>8000</v>
      </c>
      <c r="U56" s="2"/>
      <c r="V56" s="6">
        <f t="shared" si="33"/>
        <v>1.5302335901575375E-2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3.5980714337115305E-2</v>
      </c>
      <c r="K57" s="1"/>
      <c r="L57" s="1">
        <f t="shared" si="30"/>
        <v>-1500</v>
      </c>
      <c r="M57" s="1"/>
      <c r="N57" s="5">
        <f t="shared" si="31"/>
        <v>-1</v>
      </c>
      <c r="O57" s="13"/>
      <c r="P57" s="1">
        <f>SUM(OSRRefP22_9x_0)</f>
        <v>149496.13</v>
      </c>
      <c r="Q57" s="1"/>
      <c r="R57" s="5">
        <f t="shared" si="32"/>
        <v>0.31304615403944697</v>
      </c>
      <c r="S57" s="1"/>
      <c r="T57" s="1">
        <f>SUM(OSRRefT22_9x_0)</f>
        <v>140000</v>
      </c>
      <c r="U57" s="1"/>
      <c r="V57" s="5">
        <f t="shared" si="33"/>
        <v>0.26779087827756909</v>
      </c>
      <c r="W57" s="1"/>
      <c r="X57" s="1">
        <f t="shared" si="34"/>
        <v>9496.1300000000047</v>
      </c>
      <c r="Y57" s="1"/>
      <c r="Z57" s="5">
        <f t="shared" si="35"/>
        <v>6.7829500000000029E-2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0.23909899846211524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3.5980714337115305E-2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15000</v>
      </c>
      <c r="U59" s="2"/>
      <c r="V59" s="6">
        <f t="shared" si="33"/>
        <v>2.8691879815453829E-2</v>
      </c>
      <c r="W59" s="2"/>
      <c r="X59" s="7">
        <f t="shared" si="34"/>
        <v>-15000</v>
      </c>
      <c r="Y59" s="2"/>
      <c r="Z59" s="6">
        <f t="shared" si="35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142934.13</v>
      </c>
      <c r="Q60" s="2"/>
      <c r="R60" s="6">
        <f t="shared" si="32"/>
        <v>0.29930527082857822</v>
      </c>
      <c r="S60" s="2"/>
      <c r="T60" s="7"/>
      <c r="U60" s="2"/>
      <c r="V60" s="6">
        <f t="shared" si="33"/>
        <v>0</v>
      </c>
      <c r="W60" s="2"/>
      <c r="X60" s="7">
        <f t="shared" si="34"/>
        <v>142934.13</v>
      </c>
      <c r="Y60" s="2"/>
      <c r="Z60" s="6">
        <f t="shared" si="35"/>
        <v>0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1.3740883210868741E-2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5" customFormat="1" outlineLevel="1" collapsed="1" x14ac:dyDescent="0.25">
      <c r="A62" s="27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SUM(OSRRefD22_10x_0)</f>
        <v>0</v>
      </c>
      <c r="E62" s="1"/>
      <c r="F62" s="5">
        <f t="shared" ref="F62:F66" si="36">IF(D$12=0,0,D62/D$12)</f>
        <v>0</v>
      </c>
      <c r="G62" s="1"/>
      <c r="H62" s="1">
        <f>SUM(OSRRefH22_10x_0)</f>
        <v>850</v>
      </c>
      <c r="I62" s="1"/>
      <c r="J62" s="5">
        <f t="shared" ref="J62:J66" si="37">IF(H$12=0,0,H62/H$12)</f>
        <v>2.0389071457698672E-2</v>
      </c>
      <c r="K62" s="1"/>
      <c r="L62" s="1">
        <f t="shared" ref="L62:L66" si="38">+D62-H62</f>
        <v>-850</v>
      </c>
      <c r="M62" s="1"/>
      <c r="N62" s="5">
        <f t="shared" ref="N62:N66" si="39">IF(H62=0,0,L62/H62)</f>
        <v>-1</v>
      </c>
      <c r="O62" s="13"/>
      <c r="P62" s="1">
        <f>SUM(OSRRefP22_10x_0)</f>
        <v>0</v>
      </c>
      <c r="Q62" s="1"/>
      <c r="R62" s="5">
        <f t="shared" ref="R62:R66" si="40">IF(P$12=0,0,P62/P$12)</f>
        <v>0</v>
      </c>
      <c r="S62" s="1"/>
      <c r="T62" s="1">
        <f>SUM(OSRRefT22_10x_0)</f>
        <v>850</v>
      </c>
      <c r="U62" s="1"/>
      <c r="V62" s="5">
        <f t="shared" ref="V62:V66" si="41">IF(T$12=0,0,T62/T$12)</f>
        <v>1.6258731895423836E-3</v>
      </c>
      <c r="W62" s="1"/>
      <c r="X62" s="1">
        <f t="shared" ref="X62:X66" si="42">+P62-T62</f>
        <v>-850</v>
      </c>
      <c r="Y62" s="1"/>
      <c r="Z62" s="5">
        <f t="shared" ref="Z62:Z66" si="43">IF(T62=0,0,X62/T62)</f>
        <v>-1</v>
      </c>
    </row>
    <row r="63" spans="1:26" s="24" customFormat="1" hidden="1" outlineLevel="2" x14ac:dyDescent="0.25">
      <c r="A63" s="26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36"/>
        <v>0</v>
      </c>
      <c r="G63" s="2"/>
      <c r="H63" s="7">
        <v>850</v>
      </c>
      <c r="I63" s="2"/>
      <c r="J63" s="6">
        <f t="shared" si="37"/>
        <v>2.0389071457698672E-2</v>
      </c>
      <c r="K63" s="2"/>
      <c r="L63" s="7">
        <f t="shared" si="38"/>
        <v>-850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850</v>
      </c>
      <c r="U63" s="2"/>
      <c r="V63" s="6">
        <f t="shared" si="41"/>
        <v>1.6258731895423836E-3</v>
      </c>
      <c r="W63" s="2"/>
      <c r="X63" s="7">
        <f t="shared" si="42"/>
        <v>-850</v>
      </c>
      <c r="Y63" s="2"/>
      <c r="Z63" s="6">
        <f t="shared" si="43"/>
        <v>-1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2500</v>
      </c>
      <c r="E64" s="1"/>
      <c r="F64" s="5">
        <f t="shared" si="36"/>
        <v>7.4241254380234004E-2</v>
      </c>
      <c r="G64" s="1"/>
      <c r="H64" s="1">
        <f>SUM(OSRRefH22_11x_0)</f>
        <v>7000</v>
      </c>
      <c r="I64" s="1"/>
      <c r="J64" s="5">
        <f t="shared" si="37"/>
        <v>0.16791000023987143</v>
      </c>
      <c r="K64" s="1"/>
      <c r="L64" s="1">
        <f t="shared" si="38"/>
        <v>-4500</v>
      </c>
      <c r="M64" s="1"/>
      <c r="N64" s="5">
        <f t="shared" si="39"/>
        <v>-0.6428571428571429</v>
      </c>
      <c r="O64" s="13"/>
      <c r="P64" s="1">
        <f>SUM(OSRRefP22_11x_0)</f>
        <v>44561.89</v>
      </c>
      <c r="Q64" s="1"/>
      <c r="R64" s="5">
        <f t="shared" si="40"/>
        <v>9.3312972591523866E-2</v>
      </c>
      <c r="S64" s="1"/>
      <c r="T64" s="1">
        <f>SUM(OSRRefT22_11x_0)</f>
        <v>70000</v>
      </c>
      <c r="U64" s="1"/>
      <c r="V64" s="5">
        <f t="shared" si="41"/>
        <v>0.13389543913878454</v>
      </c>
      <c r="W64" s="1"/>
      <c r="X64" s="1">
        <f t="shared" si="42"/>
        <v>-25438.11</v>
      </c>
      <c r="Y64" s="1"/>
      <c r="Z64" s="5">
        <f t="shared" si="43"/>
        <v>-0.36340157142857143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36"/>
        <v>0</v>
      </c>
      <c r="G65" s="2"/>
      <c r="H65" s="7">
        <v>7000</v>
      </c>
      <c r="I65" s="2"/>
      <c r="J65" s="6">
        <f t="shared" si="37"/>
        <v>0.16791000023987143</v>
      </c>
      <c r="K65" s="2"/>
      <c r="L65" s="7">
        <f t="shared" si="38"/>
        <v>-7000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70000</v>
      </c>
      <c r="U65" s="2"/>
      <c r="V65" s="6">
        <f t="shared" si="41"/>
        <v>0.13389543913878454</v>
      </c>
      <c r="W65" s="2"/>
      <c r="X65" s="7">
        <f t="shared" si="42"/>
        <v>-70000</v>
      </c>
      <c r="Y65" s="2"/>
      <c r="Z65" s="6">
        <f t="shared" si="43"/>
        <v>-1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>
        <v>2500</v>
      </c>
      <c r="E66" s="2"/>
      <c r="F66" s="6">
        <f t="shared" si="36"/>
        <v>7.4241254380234004E-2</v>
      </c>
      <c r="G66" s="2"/>
      <c r="H66" s="7"/>
      <c r="I66" s="2"/>
      <c r="J66" s="6">
        <f t="shared" si="37"/>
        <v>0</v>
      </c>
      <c r="K66" s="2"/>
      <c r="L66" s="7">
        <f t="shared" si="38"/>
        <v>2500</v>
      </c>
      <c r="M66" s="2"/>
      <c r="N66" s="6">
        <f t="shared" si="39"/>
        <v>0</v>
      </c>
      <c r="O66" s="11"/>
      <c r="P66" s="7">
        <v>44561.89</v>
      </c>
      <c r="Q66" s="2"/>
      <c r="R66" s="6">
        <f t="shared" si="40"/>
        <v>9.3312972591523866E-2</v>
      </c>
      <c r="S66" s="2"/>
      <c r="T66" s="7"/>
      <c r="U66" s="2"/>
      <c r="V66" s="6">
        <f t="shared" si="41"/>
        <v>0</v>
      </c>
      <c r="W66" s="2"/>
      <c r="X66" s="7">
        <f t="shared" si="42"/>
        <v>44561.89</v>
      </c>
      <c r="Y66" s="2"/>
      <c r="Z66" s="6">
        <f t="shared" si="43"/>
        <v>0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87.1</v>
      </c>
      <c r="E67" s="1"/>
      <c r="F67" s="5">
        <f t="shared" ref="F67:F70" si="44">IF(D$12=0,0,D67/D$12)</f>
        <v>2.5865653026073527E-3</v>
      </c>
      <c r="G67" s="1"/>
      <c r="H67" s="1">
        <f>SUM(OSRRefH22_12x_0)</f>
        <v>700</v>
      </c>
      <c r="I67" s="1"/>
      <c r="J67" s="5">
        <f t="shared" ref="J67:J70" si="45">IF(H$12=0,0,H67/H$12)</f>
        <v>1.6791000023987143E-2</v>
      </c>
      <c r="K67" s="1"/>
      <c r="L67" s="1">
        <f t="shared" ref="L67:L70" si="46">+D67-H67</f>
        <v>-612.9</v>
      </c>
      <c r="M67" s="1"/>
      <c r="N67" s="5">
        <f t="shared" ref="N67:N70" si="47">IF(H67=0,0,L67/H67)</f>
        <v>-0.87557142857142856</v>
      </c>
      <c r="O67" s="13"/>
      <c r="P67" s="1">
        <f>SUM(OSRRefP22_12x_0)</f>
        <v>1798.93</v>
      </c>
      <c r="Q67" s="1"/>
      <c r="R67" s="5">
        <f t="shared" ref="R67:R70" si="48">IF(P$12=0,0,P67/P$12)</f>
        <v>3.7669745557037649E-3</v>
      </c>
      <c r="S67" s="1"/>
      <c r="T67" s="1">
        <f>SUM(OSRRefT22_12x_0)</f>
        <v>7000</v>
      </c>
      <c r="U67" s="1"/>
      <c r="V67" s="5">
        <f t="shared" ref="V67:V70" si="49">IF(T$12=0,0,T67/T$12)</f>
        <v>1.3389543913878454E-2</v>
      </c>
      <c r="W67" s="1"/>
      <c r="X67" s="1">
        <f t="shared" ref="X67:X70" si="50">+P67-T67</f>
        <v>-5201.07</v>
      </c>
      <c r="Y67" s="1"/>
      <c r="Z67" s="5">
        <f t="shared" ref="Z67:Z70" si="51">IF(T67=0,0,X67/T67)</f>
        <v>-0.74300999999999995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7">
        <v>87.1</v>
      </c>
      <c r="E68" s="2"/>
      <c r="F68" s="6">
        <f t="shared" si="44"/>
        <v>2.5865653026073527E-3</v>
      </c>
      <c r="G68" s="2"/>
      <c r="H68" s="7">
        <v>700</v>
      </c>
      <c r="I68" s="2"/>
      <c r="J68" s="6">
        <f t="shared" si="45"/>
        <v>1.6791000023987143E-2</v>
      </c>
      <c r="K68" s="2"/>
      <c r="L68" s="7">
        <f t="shared" si="46"/>
        <v>-612.9</v>
      </c>
      <c r="M68" s="2"/>
      <c r="N68" s="6">
        <f t="shared" si="47"/>
        <v>-0.87557142857142856</v>
      </c>
      <c r="O68" s="11"/>
      <c r="P68" s="7">
        <v>1798.93</v>
      </c>
      <c r="Q68" s="2"/>
      <c r="R68" s="6">
        <f t="shared" si="48"/>
        <v>3.7669745557037649E-3</v>
      </c>
      <c r="S68" s="2"/>
      <c r="T68" s="7">
        <v>7000</v>
      </c>
      <c r="U68" s="2"/>
      <c r="V68" s="6">
        <f t="shared" si="49"/>
        <v>1.3389543913878454E-2</v>
      </c>
      <c r="W68" s="2"/>
      <c r="X68" s="7">
        <f t="shared" si="50"/>
        <v>-5201.07</v>
      </c>
      <c r="Y68" s="2"/>
      <c r="Z68" s="6">
        <f t="shared" si="51"/>
        <v>-0.74300999999999995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1500</v>
      </c>
      <c r="I69" s="1"/>
      <c r="J69" s="5">
        <f t="shared" si="45"/>
        <v>3.5980714337115305E-2</v>
      </c>
      <c r="K69" s="1"/>
      <c r="L69" s="1">
        <f t="shared" si="46"/>
        <v>-1500</v>
      </c>
      <c r="M69" s="1"/>
      <c r="N69" s="5">
        <f t="shared" si="47"/>
        <v>-1</v>
      </c>
      <c r="O69" s="13"/>
      <c r="P69" s="1">
        <f>SUM(OSRRefP22_13x_0)</f>
        <v>0</v>
      </c>
      <c r="Q69" s="1"/>
      <c r="R69" s="5">
        <f t="shared" si="48"/>
        <v>0</v>
      </c>
      <c r="S69" s="1"/>
      <c r="T69" s="1">
        <f>SUM(OSRRefT22_13x_0)</f>
        <v>4500</v>
      </c>
      <c r="U69" s="1"/>
      <c r="V69" s="5">
        <f t="shared" si="49"/>
        <v>8.6075639446361492E-3</v>
      </c>
      <c r="W69" s="1"/>
      <c r="X69" s="1">
        <f t="shared" si="50"/>
        <v>-4500</v>
      </c>
      <c r="Y69" s="1"/>
      <c r="Z69" s="5">
        <f t="shared" si="51"/>
        <v>-1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>
        <v>1500</v>
      </c>
      <c r="I70" s="2"/>
      <c r="J70" s="6">
        <f t="shared" si="45"/>
        <v>3.5980714337115305E-2</v>
      </c>
      <c r="K70" s="2"/>
      <c r="L70" s="7">
        <f t="shared" si="46"/>
        <v>-1500</v>
      </c>
      <c r="M70" s="2"/>
      <c r="N70" s="6">
        <f t="shared" si="47"/>
        <v>-1</v>
      </c>
      <c r="O70" s="11"/>
      <c r="P70" s="7"/>
      <c r="Q70" s="2"/>
      <c r="R70" s="6">
        <f t="shared" si="48"/>
        <v>0</v>
      </c>
      <c r="S70" s="2"/>
      <c r="T70" s="7">
        <v>4500</v>
      </c>
      <c r="U70" s="2"/>
      <c r="V70" s="6">
        <f t="shared" si="49"/>
        <v>8.6075639446361492E-3</v>
      </c>
      <c r="W70" s="2"/>
      <c r="X70" s="7">
        <f t="shared" si="50"/>
        <v>-4500</v>
      </c>
      <c r="Y70" s="2"/>
      <c r="Z70" s="6">
        <f t="shared" si="51"/>
        <v>-1</v>
      </c>
    </row>
    <row r="71" spans="1:26" s="61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293</v>
      </c>
      <c r="C72" s="10"/>
      <c r="D72" s="4">
        <f>SUM(OSRRefD25x_0)</f>
        <v>221.44</v>
      </c>
      <c r="E72" s="4"/>
      <c r="F72" s="12">
        <f t="shared" ref="F72:F73" si="52">IF(D$12=0,0,D72/D$12)</f>
        <v>6.5759933479836077E-3</v>
      </c>
      <c r="G72" s="4"/>
      <c r="H72" s="4">
        <f>SUM(OSRRefH25x_0)</f>
        <v>3500</v>
      </c>
      <c r="I72" s="4"/>
      <c r="J72" s="12">
        <f t="shared" ref="J72:J73" si="53">IF(H$12=0,0,H72/H$12)</f>
        <v>8.3955000119935716E-2</v>
      </c>
      <c r="K72" s="4"/>
      <c r="L72" s="4">
        <f t="shared" ref="L72:L73" si="54">+D72-H72</f>
        <v>-3278.56</v>
      </c>
      <c r="M72" s="4"/>
      <c r="N72" s="12">
        <f t="shared" ref="N72:N73" si="55">IF(H72=0,0,L72/H72)</f>
        <v>-0.93673142857142855</v>
      </c>
      <c r="O72" s="10"/>
      <c r="P72" s="4">
        <f>SUM(OSRRefP25x_0)</f>
        <v>2160.12</v>
      </c>
      <c r="Q72" s="4"/>
      <c r="R72" s="12">
        <f t="shared" ref="R72:R73" si="56">IF(P$12=0,0,P72/P$12)</f>
        <v>4.5233094546573887E-3</v>
      </c>
      <c r="S72" s="4"/>
      <c r="T72" s="4">
        <f>SUM(OSRRefT25x_0)</f>
        <v>30150</v>
      </c>
      <c r="U72" s="4"/>
      <c r="V72" s="12">
        <f t="shared" ref="V72:V73" si="57">IF(T$12=0,0,T72/T$12)</f>
        <v>5.7670678429062198E-2</v>
      </c>
      <c r="W72" s="4"/>
      <c r="X72" s="4">
        <f t="shared" ref="X72:X73" si="58">+P72-T72</f>
        <v>-27989.88</v>
      </c>
      <c r="Y72" s="4"/>
      <c r="Z72" s="12">
        <f t="shared" ref="Z72:Z73" si="59">IF(T72=0,0,X72/T72)</f>
        <v>-0.92835422885572139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--221.44</f>
        <v>221.44</v>
      </c>
      <c r="E73" s="2"/>
      <c r="F73" s="19">
        <f t="shared" si="52"/>
        <v>6.5759933479836077E-3</v>
      </c>
      <c r="G73" s="2"/>
      <c r="H73" s="2">
        <v>3500</v>
      </c>
      <c r="I73" s="2"/>
      <c r="J73" s="19">
        <f t="shared" si="53"/>
        <v>8.3955000119935716E-2</v>
      </c>
      <c r="K73" s="2"/>
      <c r="L73" s="2">
        <f t="shared" si="54"/>
        <v>-3278.56</v>
      </c>
      <c r="M73" s="2"/>
      <c r="N73" s="19">
        <f t="shared" si="55"/>
        <v>-0.93673142857142855</v>
      </c>
      <c r="O73" s="11"/>
      <c r="P73" s="2">
        <f>--2160.12</f>
        <v>2160.12</v>
      </c>
      <c r="Q73" s="2"/>
      <c r="R73" s="19">
        <f t="shared" si="56"/>
        <v>4.5233094546573887E-3</v>
      </c>
      <c r="S73" s="2"/>
      <c r="T73" s="2">
        <v>30150</v>
      </c>
      <c r="U73" s="2"/>
      <c r="V73" s="19">
        <f t="shared" si="57"/>
        <v>5.7670678429062198E-2</v>
      </c>
      <c r="W73" s="2"/>
      <c r="X73" s="2">
        <f t="shared" si="58"/>
        <v>-27989.88</v>
      </c>
      <c r="Y73" s="2"/>
      <c r="Z73" s="19">
        <f t="shared" si="59"/>
        <v>-0.92835422885572139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277</v>
      </c>
      <c r="C75" s="28"/>
      <c r="D75" s="21">
        <f>+D17-D19+D72</f>
        <v>13799.160000000005</v>
      </c>
      <c r="E75" s="14"/>
      <c r="F75" s="20">
        <f>IF(D$12=0,0,D75/D$12)</f>
        <v>0.40978677911742012</v>
      </c>
      <c r="G75" s="14"/>
      <c r="H75" s="21">
        <f>+H17-H19+H72</f>
        <v>6259.0455514807691</v>
      </c>
      <c r="I75" s="14"/>
      <c r="J75" s="20">
        <f>IF(H$12=0,0,H75/H$12)</f>
        <v>0.15013662000721459</v>
      </c>
      <c r="K75" s="16"/>
      <c r="L75" s="21">
        <f>+D75-H75</f>
        <v>7540.1144485192362</v>
      </c>
      <c r="M75" s="16"/>
      <c r="N75" s="20">
        <f>IF(H75=0,0,L75/H75)</f>
        <v>1.2046748000955818</v>
      </c>
      <c r="O75" s="29"/>
      <c r="P75" s="21">
        <f>+P17-P19+P72</f>
        <v>91479.82</v>
      </c>
      <c r="Q75" s="14"/>
      <c r="R75" s="20">
        <f>IF(P$12=0,0,P75/P$12)</f>
        <v>0.19155951276612232</v>
      </c>
      <c r="S75" s="14"/>
      <c r="T75" s="21">
        <f>+T17-T19+T72</f>
        <v>79110.247248080675</v>
      </c>
      <c r="U75" s="14"/>
      <c r="V75" s="20">
        <f>IF(T$12=0,0,T75/T$12)</f>
        <v>0.15132144708085118</v>
      </c>
      <c r="W75" s="16"/>
      <c r="X75" s="21">
        <f>+P75-T75</f>
        <v>12369.572751919331</v>
      </c>
      <c r="Y75" s="16"/>
      <c r="Z75" s="20">
        <f>IF(T75=0,0,X75/T75)</f>
        <v>0.15635866631954479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128</v>
      </c>
      <c r="C77" s="10"/>
      <c r="D77" s="4">
        <v>8426.34</v>
      </c>
      <c r="E77" s="4"/>
      <c r="F77" s="12">
        <f>IF(D$12=0,0,D77/D$12)</f>
        <v>0.25023282057373641</v>
      </c>
      <c r="G77" s="4"/>
      <c r="H77" s="4">
        <v>9624</v>
      </c>
      <c r="I77" s="4"/>
      <c r="J77" s="12">
        <f>IF(H$12=0,0,H77/H$12)</f>
        <v>0.23085226318693181</v>
      </c>
      <c r="K77" s="4"/>
      <c r="L77" s="4">
        <f>+D77-H77</f>
        <v>-1197.6599999999999</v>
      </c>
      <c r="M77" s="4"/>
      <c r="N77" s="12">
        <f>IF(H77=0,0,L77/H77)</f>
        <v>-0.12444513715710721</v>
      </c>
      <c r="O77" s="10"/>
      <c r="P77" s="4">
        <v>99906.03</v>
      </c>
      <c r="Q77" s="4"/>
      <c r="R77" s="12">
        <f>IF(P$12=0,0,P77/P$12)</f>
        <v>0.20920406740194281</v>
      </c>
      <c r="S77" s="4"/>
      <c r="T77" s="4">
        <v>94704</v>
      </c>
      <c r="U77" s="4"/>
      <c r="V77" s="12">
        <f>IF(T$12=0,0,T77/T$12)</f>
        <v>0.18114905240284929</v>
      </c>
      <c r="W77" s="4"/>
      <c r="X77" s="4">
        <f>+P77-T77</f>
        <v>5202.0299999999988</v>
      </c>
      <c r="Y77" s="4"/>
      <c r="Z77" s="12">
        <f>IF(T77=0,0,X77/T77)</f>
        <v>5.4929358844399381E-2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126</v>
      </c>
      <c r="C79" s="28"/>
      <c r="D79" s="31">
        <f>+D75-D77</f>
        <v>5372.8200000000052</v>
      </c>
      <c r="E79" s="14"/>
      <c r="F79" s="33">
        <f>IF(D$12=0,0,D79/D$12)</f>
        <v>0.1595539585436837</v>
      </c>
      <c r="G79" s="14"/>
      <c r="H79" s="31">
        <f>+H75-H77</f>
        <v>-3364.9544485192309</v>
      </c>
      <c r="I79" s="14"/>
      <c r="J79" s="33">
        <f>IF(H$12=0,0,H79/H$12)</f>
        <v>-8.0715643179717217E-2</v>
      </c>
      <c r="K79" s="16"/>
      <c r="L79" s="31">
        <f>D79-H79</f>
        <v>8737.7744485192361</v>
      </c>
      <c r="M79" s="16"/>
      <c r="N79" s="33">
        <f>IF(H79=0,0,L79/H79)</f>
        <v>-2.5966991774180919</v>
      </c>
      <c r="O79" s="29"/>
      <c r="P79" s="31">
        <f>+P75-P77</f>
        <v>-8426.2099999999919</v>
      </c>
      <c r="Q79" s="14"/>
      <c r="R79" s="33">
        <f>IF(P$12=0,0,P79/P$12)</f>
        <v>-1.7644554635820511E-2</v>
      </c>
      <c r="S79" s="14"/>
      <c r="T79" s="31">
        <f>+T75-T77</f>
        <v>-15593.752751919325</v>
      </c>
      <c r="U79" s="14"/>
      <c r="V79" s="33">
        <f>IF(T$12=0,0,T79/T$12)</f>
        <v>-2.9827605321998112E-2</v>
      </c>
      <c r="W79" s="16"/>
      <c r="X79" s="31">
        <f>P79-T79</f>
        <v>7167.5427519193327</v>
      </c>
      <c r="Y79" s="16"/>
      <c r="Z79" s="33">
        <f>IF(T79=0,0,X79/T79)</f>
        <v>-0.45964193904749007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294</v>
      </c>
      <c r="C82" s="28"/>
      <c r="D82" s="34">
        <f>SUM(D79:D81)</f>
        <v>5372.8200000000052</v>
      </c>
      <c r="E82" s="14"/>
      <c r="F82" s="35">
        <f>IF(D$12=0,0,D82/D$12)</f>
        <v>0.1595539585436837</v>
      </c>
      <c r="G82" s="14"/>
      <c r="H82" s="34">
        <f>SUM(H79:H81)</f>
        <v>-3364.9544485192309</v>
      </c>
      <c r="I82" s="14"/>
      <c r="J82" s="35">
        <f>IF(H$12=0,0,H82/H$12)</f>
        <v>-8.0715643179717217E-2</v>
      </c>
      <c r="K82" s="16"/>
      <c r="L82" s="34">
        <f>+D82-H82</f>
        <v>8737.7744485192361</v>
      </c>
      <c r="M82" s="16"/>
      <c r="N82" s="35">
        <f>IF(H82=0,0,L82/H82)</f>
        <v>-2.5966991774180919</v>
      </c>
      <c r="O82" s="29"/>
      <c r="P82" s="34">
        <f>SUM(P79:P81)</f>
        <v>-8426.2099999999919</v>
      </c>
      <c r="Q82" s="14"/>
      <c r="R82" s="35">
        <f>IF(P$12=0,0,P82/P$12)</f>
        <v>-1.7644554635820511E-2</v>
      </c>
      <c r="S82" s="14"/>
      <c r="T82" s="34">
        <f>SUM(T79:T81)</f>
        <v>-15593.752751919325</v>
      </c>
      <c r="U82" s="14"/>
      <c r="V82" s="35">
        <f>IF(T$12=0,0,T82/T$12)</f>
        <v>-2.9827605321998112E-2</v>
      </c>
      <c r="W82" s="16"/>
      <c r="X82" s="34">
        <f>+P82-T82</f>
        <v>7167.5427519193327</v>
      </c>
      <c r="Y82" s="16"/>
      <c r="Z82" s="35">
        <f>IF(T82=0,0,X82/T82)</f>
        <v>-0.45964193904749007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2">
        <v>44330.005806944442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5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",RIGHT(202110,2),", ",2021)</f>
        <v>Period 10, 2021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44317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33674</v>
      </c>
      <c r="E12" s="4"/>
      <c r="F12" s="12"/>
      <c r="G12" s="4"/>
      <c r="H12" s="4">
        <f>SUM(OSRRefH13x_0)</f>
        <v>41689</v>
      </c>
      <c r="I12" s="4"/>
      <c r="J12" s="12"/>
      <c r="K12" s="4"/>
      <c r="L12" s="4">
        <f t="shared" ref="L12:L13" si="0">+D12-H12</f>
        <v>-8015</v>
      </c>
      <c r="M12" s="4"/>
      <c r="N12" s="12">
        <f t="shared" ref="N12:N13" si="1">IF(H12=0,0,L12/H12)</f>
        <v>-0.19225695027465278</v>
      </c>
      <c r="O12" s="10"/>
      <c r="P12" s="4">
        <f>SUM(OSRRefP13x_0)</f>
        <v>477553</v>
      </c>
      <c r="Q12" s="4"/>
      <c r="R12" s="12"/>
      <c r="S12" s="4"/>
      <c r="T12" s="4">
        <f>SUM(OSRRefT13x_0)</f>
        <v>522796</v>
      </c>
      <c r="U12" s="4"/>
      <c r="V12" s="12"/>
      <c r="W12" s="4"/>
      <c r="X12" s="4">
        <f t="shared" ref="X12:X13" si="2">+P12-T12</f>
        <v>-45243</v>
      </c>
      <c r="Y12" s="4"/>
      <c r="Z12" s="12">
        <f t="shared" ref="Z12:Z13" si="3">IF(T12=0,0,X12/T12)</f>
        <v>-8.6540447899371833E-2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--33674</f>
        <v>33674</v>
      </c>
      <c r="E13" s="2"/>
      <c r="F13" s="19"/>
      <c r="G13" s="2"/>
      <c r="H13" s="2">
        <v>41689</v>
      </c>
      <c r="I13" s="2"/>
      <c r="J13" s="19"/>
      <c r="K13" s="2"/>
      <c r="L13" s="2">
        <f t="shared" si="0"/>
        <v>-8015</v>
      </c>
      <c r="M13" s="2"/>
      <c r="N13" s="19">
        <f t="shared" si="1"/>
        <v>-0.19225695027465278</v>
      </c>
      <c r="O13" s="11"/>
      <c r="P13" s="2">
        <f>--477553</f>
        <v>477553</v>
      </c>
      <c r="Q13" s="2"/>
      <c r="R13" s="19"/>
      <c r="S13" s="2"/>
      <c r="T13" s="2">
        <v>522796</v>
      </c>
      <c r="U13" s="2"/>
      <c r="V13" s="19"/>
      <c r="W13" s="2"/>
      <c r="X13" s="2">
        <f t="shared" si="2"/>
        <v>-45243</v>
      </c>
      <c r="Y13" s="2"/>
      <c r="Z13" s="19">
        <f t="shared" si="3"/>
        <v>-8.6540447899371833E-2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1">
        <f>D12-D15</f>
        <v>33674</v>
      </c>
      <c r="E17" s="14"/>
      <c r="F17" s="20">
        <f>IF(D$12=0,0,D17/D$12)</f>
        <v>1</v>
      </c>
      <c r="G17" s="14"/>
      <c r="H17" s="21">
        <f>H12-H15</f>
        <v>41689</v>
      </c>
      <c r="I17" s="14"/>
      <c r="J17" s="20">
        <f>IF(H$12=0,0,H17/H$12)</f>
        <v>1</v>
      </c>
      <c r="K17" s="16"/>
      <c r="L17" s="21">
        <f>+D17-H17</f>
        <v>-8015</v>
      </c>
      <c r="M17" s="16"/>
      <c r="N17" s="20">
        <f>IF(H17=0,0,L17/H17)</f>
        <v>-0.19225695027465278</v>
      </c>
      <c r="O17" s="29"/>
      <c r="P17" s="21">
        <f>P12-P15</f>
        <v>477553</v>
      </c>
      <c r="Q17" s="14"/>
      <c r="R17" s="20">
        <f>IF(P$12=0,0,P17/P$12)</f>
        <v>1</v>
      </c>
      <c r="S17" s="14"/>
      <c r="T17" s="21">
        <f>T12-T15</f>
        <v>522796</v>
      </c>
      <c r="U17" s="14"/>
      <c r="V17" s="20">
        <f>IF(T$12=0,0,T17/T$12)</f>
        <v>1</v>
      </c>
      <c r="W17" s="16"/>
      <c r="X17" s="21">
        <f>+P17-T17</f>
        <v>-45243</v>
      </c>
      <c r="Y17" s="16"/>
      <c r="Z17" s="20">
        <f>IF(T17=0,0,X17/T17)</f>
        <v>-8.6540447899371833E-2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20096.279999999995</v>
      </c>
      <c r="E19" s="22"/>
      <c r="F19" s="32">
        <f t="shared" ref="F19:F30" si="4">IF(D$12=0,0,D19/D$12)</f>
        <v>0.59678921423056353</v>
      </c>
      <c r="G19" s="22"/>
      <c r="H19" s="22">
        <f>SUM(OSRRefH22x_0)</f>
        <v>38929.954448519231</v>
      </c>
      <c r="I19" s="22"/>
      <c r="J19" s="32">
        <f t="shared" ref="J19:J30" si="5">IF(H$12=0,0,H19/H$12)</f>
        <v>0.93381838011272111</v>
      </c>
      <c r="K19" s="4"/>
      <c r="L19" s="22">
        <f t="shared" ref="L19:L30" si="6">+D19-H19</f>
        <v>-18833.674448519236</v>
      </c>
      <c r="M19" s="4"/>
      <c r="N19" s="32">
        <f t="shared" ref="N19:N30" si="7">IF(H19=0,0,L19/H19)</f>
        <v>-0.48378362408373193</v>
      </c>
      <c r="O19" s="10"/>
      <c r="P19" s="22">
        <f>SUM(OSRRefP22x_0)</f>
        <v>388233.3</v>
      </c>
      <c r="Q19" s="22"/>
      <c r="R19" s="32">
        <f t="shared" ref="R19:R30" si="8">IF(P$12=0,0,P19/P$12)</f>
        <v>0.81296379668853502</v>
      </c>
      <c r="S19" s="22"/>
      <c r="T19" s="22">
        <f>SUM(OSRRefT22x_0)</f>
        <v>473835.75275191932</v>
      </c>
      <c r="U19" s="22"/>
      <c r="V19" s="32">
        <f t="shared" ref="V19:V30" si="9">IF(T$12=0,0,T19/T$12)</f>
        <v>0.90634923134821099</v>
      </c>
      <c r="W19" s="4"/>
      <c r="X19" s="22">
        <f t="shared" ref="X19:X30" si="10">+P19-T19</f>
        <v>-85602.452751919336</v>
      </c>
      <c r="Y19" s="4"/>
      <c r="Z19" s="32">
        <f t="shared" ref="Z19:Z30" si="11">IF(T19=0,0,X19/T19)</f>
        <v>-0.18065849243068244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4442.8100000000004</v>
      </c>
      <c r="E20" s="1"/>
      <c r="F20" s="5">
        <f t="shared" si="4"/>
        <v>0.131935914949219</v>
      </c>
      <c r="G20" s="1"/>
      <c r="H20" s="1">
        <f>SUM(OSRRefH22_0x_0)</f>
        <v>4215.7874869807692</v>
      </c>
      <c r="I20" s="1"/>
      <c r="J20" s="5">
        <f t="shared" si="5"/>
        <v>0.10112469685002684</v>
      </c>
      <c r="K20" s="1"/>
      <c r="L20" s="1">
        <f t="shared" si="6"/>
        <v>227.02251301923116</v>
      </c>
      <c r="M20" s="1"/>
      <c r="N20" s="5">
        <f t="shared" si="7"/>
        <v>5.3850559052211242E-2</v>
      </c>
      <c r="O20" s="13"/>
      <c r="P20" s="1">
        <f>SUM(OSRRefP22_0x_0)</f>
        <v>42945.78</v>
      </c>
      <c r="Q20" s="1"/>
      <c r="R20" s="5">
        <f t="shared" si="8"/>
        <v>8.9928824654017456E-2</v>
      </c>
      <c r="S20" s="1"/>
      <c r="T20" s="1">
        <f>SUM(OSRRefT22_0x_0)</f>
        <v>41414.550190380767</v>
      </c>
      <c r="U20" s="1"/>
      <c r="V20" s="5">
        <f t="shared" si="9"/>
        <v>7.9217419778232365E-2</v>
      </c>
      <c r="W20" s="1"/>
      <c r="X20" s="1">
        <f t="shared" si="10"/>
        <v>1531.2298096192317</v>
      </c>
      <c r="Y20" s="1"/>
      <c r="Z20" s="5">
        <f t="shared" si="11"/>
        <v>3.6973232899554363E-2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1265.6400000000001</v>
      </c>
      <c r="E21" s="2"/>
      <c r="F21" s="6">
        <f t="shared" si="4"/>
        <v>3.7585080477519753E-2</v>
      </c>
      <c r="G21" s="2"/>
      <c r="H21" s="7">
        <v>907.65624928846103</v>
      </c>
      <c r="I21" s="2"/>
      <c r="J21" s="6">
        <f t="shared" si="5"/>
        <v>2.1772080147963755E-2</v>
      </c>
      <c r="K21" s="2"/>
      <c r="L21" s="7">
        <f t="shared" si="6"/>
        <v>357.98375071153907</v>
      </c>
      <c r="M21" s="2"/>
      <c r="N21" s="6">
        <f t="shared" si="7"/>
        <v>0.39440454576517625</v>
      </c>
      <c r="O21" s="11"/>
      <c r="P21" s="7">
        <v>10347.290000000001</v>
      </c>
      <c r="Q21" s="2"/>
      <c r="R21" s="6">
        <f t="shared" si="8"/>
        <v>2.16673123192609E-2</v>
      </c>
      <c r="S21" s="2"/>
      <c r="T21" s="7">
        <v>9756.3747446884609</v>
      </c>
      <c r="U21" s="2"/>
      <c r="V21" s="6">
        <f t="shared" si="9"/>
        <v>1.866191544060869E-2</v>
      </c>
      <c r="W21" s="2"/>
      <c r="X21" s="7">
        <f t="shared" si="10"/>
        <v>590.91525531154002</v>
      </c>
      <c r="Y21" s="2"/>
      <c r="Z21" s="6">
        <f t="shared" si="11"/>
        <v>6.0567092877735609E-2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14.14</v>
      </c>
      <c r="E22" s="2"/>
      <c r="F22" s="6">
        <f t="shared" si="4"/>
        <v>4.1990853477460359E-4</v>
      </c>
      <c r="G22" s="2"/>
      <c r="H22" s="7">
        <v>387.43183846153897</v>
      </c>
      <c r="I22" s="2"/>
      <c r="J22" s="6">
        <f t="shared" si="5"/>
        <v>9.2933828698586914E-3</v>
      </c>
      <c r="K22" s="2"/>
      <c r="L22" s="7">
        <f t="shared" si="6"/>
        <v>-373.29183846153899</v>
      </c>
      <c r="M22" s="2"/>
      <c r="N22" s="6">
        <f t="shared" si="7"/>
        <v>-0.96350325761520061</v>
      </c>
      <c r="O22" s="11"/>
      <c r="P22" s="7">
        <v>782.22</v>
      </c>
      <c r="Q22" s="2"/>
      <c r="R22" s="6">
        <f t="shared" si="8"/>
        <v>1.6379752613846002E-3</v>
      </c>
      <c r="S22" s="2"/>
      <c r="T22" s="7">
        <v>3504.1505184615398</v>
      </c>
      <c r="U22" s="2"/>
      <c r="V22" s="6">
        <f t="shared" si="9"/>
        <v>6.7027110353972486E-3</v>
      </c>
      <c r="W22" s="2"/>
      <c r="X22" s="7">
        <f t="shared" si="10"/>
        <v>-2721.9305184615396</v>
      </c>
      <c r="Y22" s="2"/>
      <c r="Z22" s="6">
        <f t="shared" si="11"/>
        <v>-0.77677328759741016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3.5871889291441472E-2</v>
      </c>
      <c r="G23" s="2"/>
      <c r="H23" s="7">
        <v>1025</v>
      </c>
      <c r="I23" s="2"/>
      <c r="J23" s="6">
        <f t="shared" si="5"/>
        <v>2.4586821463695459E-2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12234.8</v>
      </c>
      <c r="Q23" s="2"/>
      <c r="R23" s="6">
        <f t="shared" si="8"/>
        <v>2.5619774140252495E-2</v>
      </c>
      <c r="S23" s="2"/>
      <c r="T23" s="7">
        <v>10582.5</v>
      </c>
      <c r="U23" s="2"/>
      <c r="V23" s="6">
        <f t="shared" si="9"/>
        <v>2.0242121209802677E-2</v>
      </c>
      <c r="W23" s="2"/>
      <c r="X23" s="7">
        <f t="shared" si="10"/>
        <v>1652.2999999999993</v>
      </c>
      <c r="Y23" s="2"/>
      <c r="Z23" s="6">
        <f t="shared" si="11"/>
        <v>0.15613512875029523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11.14</v>
      </c>
      <c r="E24" s="2"/>
      <c r="F24" s="6">
        <f t="shared" si="4"/>
        <v>3.3081902951832278E-4</v>
      </c>
      <c r="G24" s="2"/>
      <c r="H24" s="7">
        <v>54.44988</v>
      </c>
      <c r="I24" s="2"/>
      <c r="J24" s="6">
        <f t="shared" si="5"/>
        <v>1.3060970519801387E-3</v>
      </c>
      <c r="K24" s="2"/>
      <c r="L24" s="7">
        <f t="shared" si="6"/>
        <v>-43.30988</v>
      </c>
      <c r="M24" s="2"/>
      <c r="N24" s="6">
        <f t="shared" si="7"/>
        <v>-0.79540818088120668</v>
      </c>
      <c r="O24" s="11"/>
      <c r="P24" s="7">
        <v>358.12</v>
      </c>
      <c r="Q24" s="2"/>
      <c r="R24" s="6">
        <f t="shared" si="8"/>
        <v>7.4990629312348582E-4</v>
      </c>
      <c r="S24" s="2"/>
      <c r="T24" s="7">
        <v>492.47520800000001</v>
      </c>
      <c r="U24" s="2"/>
      <c r="V24" s="6">
        <f t="shared" si="9"/>
        <v>9.4200263200177508E-4</v>
      </c>
      <c r="W24" s="2"/>
      <c r="X24" s="7">
        <f t="shared" si="10"/>
        <v>-134.355208</v>
      </c>
      <c r="Y24" s="2"/>
      <c r="Z24" s="6">
        <f t="shared" si="11"/>
        <v>-0.27281618610941327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1.9016154896953141E-2</v>
      </c>
      <c r="G25" s="2"/>
      <c r="H25" s="7">
        <v>700.15494230769195</v>
      </c>
      <c r="I25" s="2"/>
      <c r="J25" s="6">
        <f t="shared" si="5"/>
        <v>1.6794716647261676E-2</v>
      </c>
      <c r="K25" s="2"/>
      <c r="L25" s="7">
        <f t="shared" si="6"/>
        <v>-59.804942307691931</v>
      </c>
      <c r="M25" s="2"/>
      <c r="N25" s="6">
        <f t="shared" si="7"/>
        <v>-8.5416725204533223E-2</v>
      </c>
      <c r="O25" s="11"/>
      <c r="P25" s="7">
        <v>7701.28</v>
      </c>
      <c r="Q25" s="2"/>
      <c r="R25" s="6">
        <f t="shared" si="8"/>
        <v>1.6126545116458276E-2</v>
      </c>
      <c r="S25" s="2"/>
      <c r="T25" s="7">
        <v>6406.7107423076905</v>
      </c>
      <c r="U25" s="2"/>
      <c r="V25" s="6">
        <f t="shared" si="9"/>
        <v>1.225470497537795E-2</v>
      </c>
      <c r="W25" s="2"/>
      <c r="X25" s="7">
        <f t="shared" si="10"/>
        <v>1294.5692576923093</v>
      </c>
      <c r="Y25" s="2"/>
      <c r="Z25" s="6">
        <f t="shared" si="11"/>
        <v>0.20206457100418534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74.67</v>
      </c>
      <c r="E27" s="2"/>
      <c r="F27" s="6">
        <f t="shared" si="4"/>
        <v>2.2174377858288296E-3</v>
      </c>
      <c r="G27" s="2"/>
      <c r="H27" s="7"/>
      <c r="I27" s="2"/>
      <c r="J27" s="6">
        <f t="shared" si="5"/>
        <v>0</v>
      </c>
      <c r="K27" s="2"/>
      <c r="L27" s="7">
        <f t="shared" si="6"/>
        <v>74.67</v>
      </c>
      <c r="M27" s="2"/>
      <c r="N27" s="6">
        <f t="shared" si="7"/>
        <v>0</v>
      </c>
      <c r="O27" s="11"/>
      <c r="P27" s="7">
        <v>889.45</v>
      </c>
      <c r="Q27" s="2"/>
      <c r="R27" s="6">
        <f t="shared" si="8"/>
        <v>1.8625157835884185E-3</v>
      </c>
      <c r="S27" s="2"/>
      <c r="T27" s="7"/>
      <c r="U27" s="2"/>
      <c r="V27" s="6">
        <f t="shared" si="9"/>
        <v>0</v>
      </c>
      <c r="W27" s="2"/>
      <c r="X27" s="7">
        <f t="shared" si="10"/>
        <v>889.45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780.03</v>
      </c>
      <c r="E28" s="2"/>
      <c r="F28" s="6">
        <f t="shared" si="4"/>
        <v>2.3164162261685571E-2</v>
      </c>
      <c r="G28" s="2"/>
      <c r="H28" s="7">
        <v>244.240096153846</v>
      </c>
      <c r="I28" s="2"/>
      <c r="J28" s="6">
        <f t="shared" si="5"/>
        <v>5.8586220862540716E-3</v>
      </c>
      <c r="K28" s="2"/>
      <c r="L28" s="7">
        <f t="shared" si="6"/>
        <v>535.78990384615395</v>
      </c>
      <c r="M28" s="2"/>
      <c r="N28" s="6">
        <f t="shared" si="7"/>
        <v>2.1937016578500761</v>
      </c>
      <c r="O28" s="11"/>
      <c r="P28" s="7">
        <v>5720.22</v>
      </c>
      <c r="Q28" s="2"/>
      <c r="R28" s="6">
        <f t="shared" si="8"/>
        <v>1.1978188808362633E-2</v>
      </c>
      <c r="S28" s="2"/>
      <c r="T28" s="7">
        <v>2234.8990961538502</v>
      </c>
      <c r="U28" s="2"/>
      <c r="V28" s="6">
        <f t="shared" si="9"/>
        <v>4.2748970844341773E-3</v>
      </c>
      <c r="W28" s="2"/>
      <c r="X28" s="7">
        <f t="shared" si="10"/>
        <v>3485.32090384615</v>
      </c>
      <c r="Y28" s="2"/>
      <c r="Z28" s="6">
        <f t="shared" si="11"/>
        <v>1.5594981043413607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448.89</v>
      </c>
      <c r="E29" s="2"/>
      <c r="F29" s="6">
        <f t="shared" si="4"/>
        <v>1.3330462671497297E-2</v>
      </c>
      <c r="G29" s="2"/>
      <c r="H29" s="7">
        <v>546.85448076923103</v>
      </c>
      <c r="I29" s="2"/>
      <c r="J29" s="6">
        <f t="shared" si="5"/>
        <v>1.3117476571019478E-2</v>
      </c>
      <c r="K29" s="2"/>
      <c r="L29" s="7">
        <f t="shared" si="6"/>
        <v>-97.964480769231045</v>
      </c>
      <c r="M29" s="2"/>
      <c r="N29" s="6">
        <f t="shared" si="7"/>
        <v>-0.17914177210622767</v>
      </c>
      <c r="O29" s="11"/>
      <c r="P29" s="7">
        <v>3291.87</v>
      </c>
      <c r="Q29" s="2"/>
      <c r="R29" s="6">
        <f t="shared" si="8"/>
        <v>6.8932034768915702E-3</v>
      </c>
      <c r="S29" s="2"/>
      <c r="T29" s="7">
        <v>4937.4398807692296</v>
      </c>
      <c r="U29" s="2"/>
      <c r="V29" s="6">
        <f t="shared" si="9"/>
        <v>9.4442954436706281E-3</v>
      </c>
      <c r="W29" s="2"/>
      <c r="X29" s="7">
        <f t="shared" si="10"/>
        <v>-1645.5698807692297</v>
      </c>
      <c r="Y29" s="2"/>
      <c r="Z29" s="6">
        <f t="shared" si="11"/>
        <v>-0.33328403393397021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8.3955000119935713E-3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>
        <v>1620.53</v>
      </c>
      <c r="Q30" s="2"/>
      <c r="R30" s="6">
        <f t="shared" si="8"/>
        <v>3.3934034546950808E-3</v>
      </c>
      <c r="S30" s="2"/>
      <c r="T30" s="7">
        <v>3500</v>
      </c>
      <c r="U30" s="2"/>
      <c r="V30" s="6">
        <f t="shared" si="9"/>
        <v>6.694771956939227E-3</v>
      </c>
      <c r="W30" s="2"/>
      <c r="X30" s="7">
        <f t="shared" si="10"/>
        <v>-1879.47</v>
      </c>
      <c r="Y30" s="2"/>
      <c r="Z30" s="6">
        <f t="shared" si="11"/>
        <v>-0.53699142857142856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12186.69</v>
      </c>
      <c r="E31" s="1"/>
      <c r="F31" s="5">
        <f t="shared" ref="F31:F41" si="12">IF(D$12=0,0,D31/D$12)</f>
        <v>0.3619020609372216</v>
      </c>
      <c r="G31" s="1"/>
      <c r="H31" s="1">
        <f>SUM(OSRRefH22_1x_0)</f>
        <v>20151.16696153846</v>
      </c>
      <c r="I31" s="1"/>
      <c r="J31" s="5">
        <f t="shared" ref="J31:J41" si="13">IF(H$12=0,0,H31/H$12)</f>
        <v>0.48336892133508741</v>
      </c>
      <c r="K31" s="1"/>
      <c r="L31" s="1">
        <f t="shared" ref="L31:L41" si="14">+D31-H31</f>
        <v>-7964.4769615384594</v>
      </c>
      <c r="M31" s="1"/>
      <c r="N31" s="5">
        <f t="shared" ref="N31:N41" si="15">IF(H31=0,0,L31/H31)</f>
        <v>-0.39523651293941758</v>
      </c>
      <c r="O31" s="13"/>
      <c r="P31" s="1">
        <f>SUM(OSRRefP22_1x_0)</f>
        <v>140334.41</v>
      </c>
      <c r="Q31" s="1"/>
      <c r="R31" s="5">
        <f t="shared" ref="R31:R41" si="16">IF(P$12=0,0,P31/P$12)</f>
        <v>0.29386143527524694</v>
      </c>
      <c r="S31" s="1"/>
      <c r="T31" s="1">
        <f>SUM(OSRRefT22_1x_0)</f>
        <v>182241.20256153849</v>
      </c>
      <c r="U31" s="1"/>
      <c r="V31" s="5">
        <f t="shared" ref="V31:V41" si="17">IF(T$12=0,0,T31/T$12)</f>
        <v>0.34858951208796257</v>
      </c>
      <c r="W31" s="1"/>
      <c r="X31" s="1">
        <f t="shared" ref="X31:X41" si="18">+P31-T31</f>
        <v>-41906.792561538488</v>
      </c>
      <c r="Y31" s="1"/>
      <c r="Z31" s="5">
        <f t="shared" ref="Z31:Z41" si="19">IF(T31=0,0,X31/T31)</f>
        <v>-0.2299523487142682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4416.3900000000003</v>
      </c>
      <c r="E32" s="2"/>
      <c r="F32" s="6">
        <f t="shared" si="12"/>
        <v>0.13115133337292867</v>
      </c>
      <c r="G32" s="2"/>
      <c r="H32" s="7">
        <v>5024.0384615384601</v>
      </c>
      <c r="I32" s="2"/>
      <c r="J32" s="6">
        <f t="shared" si="13"/>
        <v>0.12051232846886373</v>
      </c>
      <c r="K32" s="2"/>
      <c r="L32" s="7">
        <f t="shared" si="14"/>
        <v>-607.64846153845974</v>
      </c>
      <c r="M32" s="2"/>
      <c r="N32" s="6">
        <f t="shared" si="15"/>
        <v>-0.12094821052631546</v>
      </c>
      <c r="O32" s="11"/>
      <c r="P32" s="7">
        <v>43739.44</v>
      </c>
      <c r="Q32" s="2"/>
      <c r="R32" s="6">
        <f t="shared" si="16"/>
        <v>9.1590755371655092E-2</v>
      </c>
      <c r="S32" s="2"/>
      <c r="T32" s="7">
        <v>44211.538461538497</v>
      </c>
      <c r="U32" s="2"/>
      <c r="V32" s="6">
        <f t="shared" si="17"/>
        <v>8.4567476532985131E-2</v>
      </c>
      <c r="W32" s="2"/>
      <c r="X32" s="7">
        <f t="shared" si="18"/>
        <v>-472.09846153849503</v>
      </c>
      <c r="Y32" s="2"/>
      <c r="Z32" s="6">
        <f t="shared" si="19"/>
        <v>-1.067817311874803E-2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2395.9899999999998</v>
      </c>
      <c r="E33" s="2"/>
      <c r="F33" s="6">
        <f t="shared" si="12"/>
        <v>7.1152521232998742E-2</v>
      </c>
      <c r="G33" s="2"/>
      <c r="H33" s="7">
        <v>2710.2312499999998</v>
      </c>
      <c r="I33" s="2"/>
      <c r="J33" s="6">
        <f t="shared" si="13"/>
        <v>6.501070426251529E-2</v>
      </c>
      <c r="K33" s="2"/>
      <c r="L33" s="7">
        <f t="shared" si="14"/>
        <v>-314.24125000000004</v>
      </c>
      <c r="M33" s="2"/>
      <c r="N33" s="6">
        <f t="shared" si="15"/>
        <v>-0.11594628687127714</v>
      </c>
      <c r="O33" s="11"/>
      <c r="P33" s="7">
        <v>23507.68</v>
      </c>
      <c r="Q33" s="2"/>
      <c r="R33" s="6">
        <f t="shared" si="16"/>
        <v>4.9225279707173865E-2</v>
      </c>
      <c r="S33" s="2"/>
      <c r="T33" s="7">
        <v>26560.266250000001</v>
      </c>
      <c r="U33" s="2"/>
      <c r="V33" s="6">
        <f t="shared" si="17"/>
        <v>5.0804264474096972E-2</v>
      </c>
      <c r="W33" s="2"/>
      <c r="X33" s="7">
        <f t="shared" si="18"/>
        <v>-3052.5862500000003</v>
      </c>
      <c r="Y33" s="2"/>
      <c r="Z33" s="6">
        <f t="shared" si="19"/>
        <v>-0.11493055910160541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3607.2359999999999</v>
      </c>
      <c r="I35" s="2"/>
      <c r="J35" s="6">
        <f t="shared" si="13"/>
        <v>8.6527285375038981E-2</v>
      </c>
      <c r="K35" s="2"/>
      <c r="L35" s="7">
        <f t="shared" si="14"/>
        <v>-3607.2359999999999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30446.049599999998</v>
      </c>
      <c r="U35" s="2"/>
      <c r="V35" s="6">
        <f t="shared" si="17"/>
        <v>5.8236959731903071E-2</v>
      </c>
      <c r="W35" s="2"/>
      <c r="X35" s="7">
        <f t="shared" si="18"/>
        <v>-30446.049599999998</v>
      </c>
      <c r="Y35" s="2"/>
      <c r="Z35" s="6">
        <f t="shared" si="19"/>
        <v>-1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>
        <v>6926.31</v>
      </c>
      <c r="E36" s="2"/>
      <c r="F36" s="6">
        <f t="shared" si="12"/>
        <v>0.20568717705054346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6926.31</v>
      </c>
      <c r="M36" s="2"/>
      <c r="N36" s="6">
        <f t="shared" si="15"/>
        <v>0</v>
      </c>
      <c r="O36" s="11"/>
      <c r="P36" s="7">
        <v>64897.63</v>
      </c>
      <c r="Q36" s="2"/>
      <c r="R36" s="6">
        <f t="shared" si="16"/>
        <v>0.13589618325086431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64897.63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>
        <v>-1552</v>
      </c>
      <c r="E38" s="2"/>
      <c r="F38" s="6">
        <f t="shared" si="12"/>
        <v>-4.6088970719249271E-2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-1552</v>
      </c>
      <c r="M38" s="2"/>
      <c r="N38" s="6">
        <f t="shared" si="15"/>
        <v>0</v>
      </c>
      <c r="O38" s="11"/>
      <c r="P38" s="7">
        <v>4277.78</v>
      </c>
      <c r="Q38" s="2"/>
      <c r="R38" s="6">
        <f t="shared" si="16"/>
        <v>8.9577073120679796E-3</v>
      </c>
      <c r="S38" s="2"/>
      <c r="T38" s="7">
        <v>20952</v>
      </c>
      <c r="U38" s="2"/>
      <c r="V38" s="6">
        <f t="shared" si="17"/>
        <v>4.0076817726225906E-2</v>
      </c>
      <c r="W38" s="2"/>
      <c r="X38" s="7">
        <f t="shared" si="18"/>
        <v>-16674.22</v>
      </c>
      <c r="Y38" s="2"/>
      <c r="Z38" s="6">
        <f t="shared" si="19"/>
        <v>-0.79582951508209243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8809.6612499999992</v>
      </c>
      <c r="I39" s="2"/>
      <c r="J39" s="6">
        <f t="shared" si="13"/>
        <v>0.21131860322866941</v>
      </c>
      <c r="K39" s="2"/>
      <c r="L39" s="7">
        <f t="shared" si="14"/>
        <v>-8809.6612499999992</v>
      </c>
      <c r="M39" s="2"/>
      <c r="N39" s="6">
        <f t="shared" si="15"/>
        <v>-1</v>
      </c>
      <c r="O39" s="11"/>
      <c r="P39" s="7">
        <v>3911.88</v>
      </c>
      <c r="Q39" s="2"/>
      <c r="R39" s="6">
        <f t="shared" si="16"/>
        <v>8.1915096334857079E-3</v>
      </c>
      <c r="S39" s="2"/>
      <c r="T39" s="7">
        <v>60071.348250000003</v>
      </c>
      <c r="U39" s="2"/>
      <c r="V39" s="6">
        <f t="shared" si="17"/>
        <v>0.11490399362275151</v>
      </c>
      <c r="W39" s="2"/>
      <c r="X39" s="7">
        <f t="shared" si="18"/>
        <v>-56159.468250000005</v>
      </c>
      <c r="Y39" s="2"/>
      <c r="Z39" s="6">
        <f t="shared" si="19"/>
        <v>-0.93487943730312395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2.3987142891410203E-3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3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1000</v>
      </c>
      <c r="U42" s="1"/>
      <c r="V42" s="5">
        <f t="shared" ref="V42:V50" si="25">IF(T$12=0,0,T42/T$12)</f>
        <v>1.9127919876969219E-3</v>
      </c>
      <c r="W42" s="1"/>
      <c r="X42" s="1">
        <f t="shared" ref="X42:X50" si="26">+P42-T42</f>
        <v>-1000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2.3987142891410203E-3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1000</v>
      </c>
      <c r="U43" s="2"/>
      <c r="V43" s="6">
        <f t="shared" si="25"/>
        <v>1.9127919876969219E-3</v>
      </c>
      <c r="W43" s="2"/>
      <c r="X43" s="7">
        <f t="shared" si="26"/>
        <v>-1000</v>
      </c>
      <c r="Y43" s="2"/>
      <c r="Z43" s="6">
        <f t="shared" si="27"/>
        <v>-1</v>
      </c>
    </row>
    <row r="44" spans="1:26" s="25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50.67</v>
      </c>
      <c r="E44" s="1"/>
      <c r="F44" s="5">
        <f t="shared" si="20"/>
        <v>1.5047217437785829E-3</v>
      </c>
      <c r="G44" s="1"/>
      <c r="H44" s="1">
        <f>SUM(OSRRefH22_3x_0)</f>
        <v>2000</v>
      </c>
      <c r="I44" s="1"/>
      <c r="J44" s="5">
        <f t="shared" si="21"/>
        <v>4.7974285782820411E-2</v>
      </c>
      <c r="K44" s="1"/>
      <c r="L44" s="1">
        <f t="shared" si="22"/>
        <v>-1949.33</v>
      </c>
      <c r="M44" s="1"/>
      <c r="N44" s="5">
        <f t="shared" si="23"/>
        <v>-0.974665</v>
      </c>
      <c r="O44" s="13"/>
      <c r="P44" s="1">
        <f>SUM(OSRRefP22_3x_0)</f>
        <v>803.94</v>
      </c>
      <c r="Q44" s="1"/>
      <c r="R44" s="5">
        <f t="shared" si="24"/>
        <v>1.683457124130725E-3</v>
      </c>
      <c r="S44" s="1"/>
      <c r="T44" s="1">
        <f>SUM(OSRRefT22_3x_0)</f>
        <v>17700</v>
      </c>
      <c r="U44" s="1"/>
      <c r="V44" s="5">
        <f t="shared" si="25"/>
        <v>3.3856418182235518E-2</v>
      </c>
      <c r="W44" s="1"/>
      <c r="X44" s="1">
        <f t="shared" si="26"/>
        <v>-16896.060000000001</v>
      </c>
      <c r="Y44" s="1"/>
      <c r="Z44" s="5">
        <f t="shared" si="27"/>
        <v>-0.95457966101694924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7">
        <v>50.67</v>
      </c>
      <c r="E45" s="2"/>
      <c r="F45" s="6">
        <f t="shared" si="20"/>
        <v>1.5047217437785829E-3</v>
      </c>
      <c r="G45" s="2"/>
      <c r="H45" s="7">
        <v>2000</v>
      </c>
      <c r="I45" s="2"/>
      <c r="J45" s="6">
        <f t="shared" si="21"/>
        <v>4.7974285782820411E-2</v>
      </c>
      <c r="K45" s="2"/>
      <c r="L45" s="7">
        <f t="shared" si="22"/>
        <v>-1949.33</v>
      </c>
      <c r="M45" s="2"/>
      <c r="N45" s="6">
        <f t="shared" si="23"/>
        <v>-0.974665</v>
      </c>
      <c r="O45" s="11"/>
      <c r="P45" s="7">
        <v>803.94</v>
      </c>
      <c r="Q45" s="2"/>
      <c r="R45" s="6">
        <f t="shared" si="24"/>
        <v>1.683457124130725E-3</v>
      </c>
      <c r="S45" s="2"/>
      <c r="T45" s="7">
        <v>17700</v>
      </c>
      <c r="U45" s="2"/>
      <c r="V45" s="6">
        <f t="shared" si="25"/>
        <v>3.3856418182235518E-2</v>
      </c>
      <c r="W45" s="2"/>
      <c r="X45" s="7">
        <f t="shared" si="26"/>
        <v>-16896.060000000001</v>
      </c>
      <c r="Y45" s="2"/>
      <c r="Z45" s="6">
        <f t="shared" si="27"/>
        <v>-0.95457966101694924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4.797428578282041E-4</v>
      </c>
      <c r="K46" s="1"/>
      <c r="L46" s="1">
        <f t="shared" si="22"/>
        <v>-20</v>
      </c>
      <c r="M46" s="1"/>
      <c r="N46" s="5">
        <f t="shared" si="23"/>
        <v>-1</v>
      </c>
      <c r="O46" s="13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200</v>
      </c>
      <c r="U46" s="1"/>
      <c r="V46" s="5">
        <f t="shared" si="25"/>
        <v>3.8255839753938441E-4</v>
      </c>
      <c r="W46" s="1"/>
      <c r="X46" s="1">
        <f t="shared" si="26"/>
        <v>-200</v>
      </c>
      <c r="Y46" s="1"/>
      <c r="Z46" s="5">
        <f t="shared" si="27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4.797428578282041E-4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200</v>
      </c>
      <c r="U47" s="2"/>
      <c r="V47" s="6">
        <f t="shared" si="25"/>
        <v>3.8255839753938441E-4</v>
      </c>
      <c r="W47" s="2"/>
      <c r="X47" s="7">
        <f t="shared" si="26"/>
        <v>-200</v>
      </c>
      <c r="Y47" s="2"/>
      <c r="Z47" s="6">
        <f t="shared" si="27"/>
        <v>-1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2.3987142891410205E-4</v>
      </c>
      <c r="K48" s="1"/>
      <c r="L48" s="1">
        <f t="shared" si="22"/>
        <v>-10</v>
      </c>
      <c r="M48" s="1"/>
      <c r="N48" s="5">
        <f t="shared" si="23"/>
        <v>-1</v>
      </c>
      <c r="O48" s="13"/>
      <c r="P48" s="1">
        <f>SUM(OSRRefP22_5x_0)</f>
        <v>2.12</v>
      </c>
      <c r="Q48" s="1"/>
      <c r="R48" s="5">
        <f t="shared" si="24"/>
        <v>4.4392978370987095E-6</v>
      </c>
      <c r="S48" s="1"/>
      <c r="T48" s="1">
        <f>SUM(OSRRefT22_5x_0)</f>
        <v>100</v>
      </c>
      <c r="U48" s="1"/>
      <c r="V48" s="5">
        <f t="shared" si="25"/>
        <v>1.912791987696922E-4</v>
      </c>
      <c r="W48" s="1"/>
      <c r="X48" s="1">
        <f t="shared" si="26"/>
        <v>-97.88</v>
      </c>
      <c r="Y48" s="1"/>
      <c r="Z48" s="5">
        <f t="shared" si="27"/>
        <v>-0.9788</v>
      </c>
    </row>
    <row r="49" spans="1:26" s="24" customFormat="1" hidden="1" outlineLevel="2" x14ac:dyDescent="0.25">
      <c r="A49" s="26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3.3922936302358064E-6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2.3987142891410205E-4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1.0470042068629033E-6</v>
      </c>
      <c r="S50" s="2"/>
      <c r="T50" s="7">
        <v>100</v>
      </c>
      <c r="U50" s="2"/>
      <c r="V50" s="6">
        <f t="shared" si="25"/>
        <v>1.912791987696922E-4</v>
      </c>
      <c r="W50" s="2"/>
      <c r="X50" s="7">
        <f t="shared" si="26"/>
        <v>-99.5</v>
      </c>
      <c r="Y50" s="2"/>
      <c r="Z50" s="6">
        <f t="shared" si="27"/>
        <v>-0.995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1.1993571445705101E-3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3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500</v>
      </c>
      <c r="U51" s="1"/>
      <c r="V51" s="5">
        <f t="shared" ref="V51:V61" si="33">IF(T$12=0,0,T51/T$12)</f>
        <v>9.5639599384846096E-4</v>
      </c>
      <c r="W51" s="1"/>
      <c r="X51" s="1">
        <f t="shared" ref="X51:X61" si="34">+P51-T51</f>
        <v>-500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1.1993571445705101E-3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500</v>
      </c>
      <c r="U52" s="2"/>
      <c r="V52" s="6">
        <f t="shared" si="33"/>
        <v>9.5639599384846096E-4</v>
      </c>
      <c r="W52" s="2"/>
      <c r="X52" s="7">
        <f t="shared" si="34"/>
        <v>-500</v>
      </c>
      <c r="Y52" s="2"/>
      <c r="Z52" s="6">
        <f t="shared" si="35"/>
        <v>-1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SUM(OSRRefD22_7x_0)</f>
        <v>29.01</v>
      </c>
      <c r="E53" s="1"/>
      <c r="F53" s="5">
        <f t="shared" si="28"/>
        <v>8.6149551582823548E-4</v>
      </c>
      <c r="G53" s="1"/>
      <c r="H53" s="1">
        <f>SUM(OSRRefH22_7x_0)</f>
        <v>33</v>
      </c>
      <c r="I53" s="1"/>
      <c r="J53" s="5">
        <f t="shared" si="29"/>
        <v>7.9157571541653676E-4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3"/>
      <c r="P53" s="1">
        <f>SUM(OSRRefP22_7x_0)</f>
        <v>290.10000000000002</v>
      </c>
      <c r="Q53" s="1"/>
      <c r="R53" s="5">
        <f t="shared" si="32"/>
        <v>6.0747184082185642E-4</v>
      </c>
      <c r="S53" s="1"/>
      <c r="T53" s="1">
        <f>SUM(OSRRefT22_7x_0)</f>
        <v>330</v>
      </c>
      <c r="U53" s="1"/>
      <c r="V53" s="5">
        <f t="shared" si="33"/>
        <v>6.3122135593998425E-4</v>
      </c>
      <c r="W53" s="1"/>
      <c r="X53" s="1">
        <f t="shared" si="34"/>
        <v>-39.899999999999977</v>
      </c>
      <c r="Y53" s="1"/>
      <c r="Z53" s="5">
        <f t="shared" si="35"/>
        <v>-0.12090909090909084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8.6149551582823548E-4</v>
      </c>
      <c r="G54" s="2"/>
      <c r="H54" s="7">
        <v>33</v>
      </c>
      <c r="I54" s="2"/>
      <c r="J54" s="6">
        <f t="shared" si="29"/>
        <v>7.9157571541653676E-4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290.10000000000002</v>
      </c>
      <c r="Q54" s="2"/>
      <c r="R54" s="6">
        <f t="shared" si="32"/>
        <v>6.0747184082185642E-4</v>
      </c>
      <c r="S54" s="2"/>
      <c r="T54" s="7">
        <v>330</v>
      </c>
      <c r="U54" s="2"/>
      <c r="V54" s="6">
        <f t="shared" si="33"/>
        <v>6.3122135593998425E-4</v>
      </c>
      <c r="W54" s="2"/>
      <c r="X54" s="7">
        <f t="shared" si="34"/>
        <v>-39.899999999999977</v>
      </c>
      <c r="Y54" s="2"/>
      <c r="Z54" s="6">
        <f t="shared" si="35"/>
        <v>-0.12090909090909084</v>
      </c>
    </row>
    <row r="55" spans="1:26" s="25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SUM(OSRRefD22_8x_0)</f>
        <v>800</v>
      </c>
      <c r="E55" s="1"/>
      <c r="F55" s="5">
        <f t="shared" si="28"/>
        <v>2.3757201401674883E-2</v>
      </c>
      <c r="G55" s="1"/>
      <c r="H55" s="1">
        <f>SUM(OSRRefH22_8x_0)</f>
        <v>800</v>
      </c>
      <c r="I55" s="1"/>
      <c r="J55" s="5">
        <f t="shared" si="29"/>
        <v>1.9189714313128162E-2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SUM(OSRRefP22_8x_0)</f>
        <v>8000</v>
      </c>
      <c r="Q55" s="1"/>
      <c r="R55" s="5">
        <f t="shared" si="32"/>
        <v>1.675206730980645E-2</v>
      </c>
      <c r="S55" s="1"/>
      <c r="T55" s="1">
        <f>SUM(OSRRefT22_8x_0)</f>
        <v>8000</v>
      </c>
      <c r="U55" s="1"/>
      <c r="V55" s="5">
        <f t="shared" si="33"/>
        <v>1.5302335901575375E-2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2.3757201401674883E-2</v>
      </c>
      <c r="G56" s="2"/>
      <c r="H56" s="7">
        <v>800</v>
      </c>
      <c r="I56" s="2"/>
      <c r="J56" s="6">
        <f t="shared" si="29"/>
        <v>1.9189714313128162E-2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8000</v>
      </c>
      <c r="Q56" s="2"/>
      <c r="R56" s="6">
        <f t="shared" si="32"/>
        <v>1.675206730980645E-2</v>
      </c>
      <c r="S56" s="2"/>
      <c r="T56" s="7">
        <v>8000</v>
      </c>
      <c r="U56" s="2"/>
      <c r="V56" s="6">
        <f t="shared" si="33"/>
        <v>1.5302335901575375E-2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3.5980714337115305E-2</v>
      </c>
      <c r="K57" s="1"/>
      <c r="L57" s="1">
        <f t="shared" si="30"/>
        <v>-1500</v>
      </c>
      <c r="M57" s="1"/>
      <c r="N57" s="5">
        <f t="shared" si="31"/>
        <v>-1</v>
      </c>
      <c r="O57" s="13"/>
      <c r="P57" s="1">
        <f>SUM(OSRRefP22_9x_0)</f>
        <v>149496.13</v>
      </c>
      <c r="Q57" s="1"/>
      <c r="R57" s="5">
        <f t="shared" si="32"/>
        <v>0.31304615403944697</v>
      </c>
      <c r="S57" s="1"/>
      <c r="T57" s="1">
        <f>SUM(OSRRefT22_9x_0)</f>
        <v>140000</v>
      </c>
      <c r="U57" s="1"/>
      <c r="V57" s="5">
        <f t="shared" si="33"/>
        <v>0.26779087827756909</v>
      </c>
      <c r="W57" s="1"/>
      <c r="X57" s="1">
        <f t="shared" si="34"/>
        <v>9496.1300000000047</v>
      </c>
      <c r="Y57" s="1"/>
      <c r="Z57" s="5">
        <f t="shared" si="35"/>
        <v>6.7829500000000029E-2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0.23909899846211524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3.5980714337115305E-2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15000</v>
      </c>
      <c r="U59" s="2"/>
      <c r="V59" s="6">
        <f t="shared" si="33"/>
        <v>2.8691879815453829E-2</v>
      </c>
      <c r="W59" s="2"/>
      <c r="X59" s="7">
        <f t="shared" si="34"/>
        <v>-15000</v>
      </c>
      <c r="Y59" s="2"/>
      <c r="Z59" s="6">
        <f t="shared" si="35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142934.13</v>
      </c>
      <c r="Q60" s="2"/>
      <c r="R60" s="6">
        <f t="shared" si="32"/>
        <v>0.29930527082857822</v>
      </c>
      <c r="S60" s="2"/>
      <c r="T60" s="7"/>
      <c r="U60" s="2"/>
      <c r="V60" s="6">
        <f t="shared" si="33"/>
        <v>0</v>
      </c>
      <c r="W60" s="2"/>
      <c r="X60" s="7">
        <f t="shared" si="34"/>
        <v>142934.13</v>
      </c>
      <c r="Y60" s="2"/>
      <c r="Z60" s="6">
        <f t="shared" si="35"/>
        <v>0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1.3740883210868741E-2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5" customFormat="1" outlineLevel="1" collapsed="1" x14ac:dyDescent="0.25">
      <c r="A62" s="27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SUM(OSRRefD22_10x_0)</f>
        <v>0</v>
      </c>
      <c r="E62" s="1"/>
      <c r="F62" s="5">
        <f t="shared" ref="F62:F66" si="36">IF(D$12=0,0,D62/D$12)</f>
        <v>0</v>
      </c>
      <c r="G62" s="1"/>
      <c r="H62" s="1">
        <f>SUM(OSRRefH22_10x_0)</f>
        <v>850</v>
      </c>
      <c r="I62" s="1"/>
      <c r="J62" s="5">
        <f t="shared" ref="J62:J66" si="37">IF(H$12=0,0,H62/H$12)</f>
        <v>2.0389071457698672E-2</v>
      </c>
      <c r="K62" s="1"/>
      <c r="L62" s="1">
        <f t="shared" ref="L62:L66" si="38">+D62-H62</f>
        <v>-850</v>
      </c>
      <c r="M62" s="1"/>
      <c r="N62" s="5">
        <f t="shared" ref="N62:N66" si="39">IF(H62=0,0,L62/H62)</f>
        <v>-1</v>
      </c>
      <c r="O62" s="13"/>
      <c r="P62" s="1">
        <f>SUM(OSRRefP22_10x_0)</f>
        <v>0</v>
      </c>
      <c r="Q62" s="1"/>
      <c r="R62" s="5">
        <f t="shared" ref="R62:R66" si="40">IF(P$12=0,0,P62/P$12)</f>
        <v>0</v>
      </c>
      <c r="S62" s="1"/>
      <c r="T62" s="1">
        <f>SUM(OSRRefT22_10x_0)</f>
        <v>850</v>
      </c>
      <c r="U62" s="1"/>
      <c r="V62" s="5">
        <f t="shared" ref="V62:V66" si="41">IF(T$12=0,0,T62/T$12)</f>
        <v>1.6258731895423836E-3</v>
      </c>
      <c r="W62" s="1"/>
      <c r="X62" s="1">
        <f t="shared" ref="X62:X66" si="42">+P62-T62</f>
        <v>-850</v>
      </c>
      <c r="Y62" s="1"/>
      <c r="Z62" s="5">
        <f t="shared" ref="Z62:Z66" si="43">IF(T62=0,0,X62/T62)</f>
        <v>-1</v>
      </c>
    </row>
    <row r="63" spans="1:26" s="24" customFormat="1" hidden="1" outlineLevel="2" x14ac:dyDescent="0.25">
      <c r="A63" s="26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36"/>
        <v>0</v>
      </c>
      <c r="G63" s="2"/>
      <c r="H63" s="7">
        <v>850</v>
      </c>
      <c r="I63" s="2"/>
      <c r="J63" s="6">
        <f t="shared" si="37"/>
        <v>2.0389071457698672E-2</v>
      </c>
      <c r="K63" s="2"/>
      <c r="L63" s="7">
        <f t="shared" si="38"/>
        <v>-850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850</v>
      </c>
      <c r="U63" s="2"/>
      <c r="V63" s="6">
        <f t="shared" si="41"/>
        <v>1.6258731895423836E-3</v>
      </c>
      <c r="W63" s="2"/>
      <c r="X63" s="7">
        <f t="shared" si="42"/>
        <v>-850</v>
      </c>
      <c r="Y63" s="2"/>
      <c r="Z63" s="6">
        <f t="shared" si="43"/>
        <v>-1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2500</v>
      </c>
      <c r="E64" s="1"/>
      <c r="F64" s="5">
        <f t="shared" si="36"/>
        <v>7.4241254380234004E-2</v>
      </c>
      <c r="G64" s="1"/>
      <c r="H64" s="1">
        <f>SUM(OSRRefH22_11x_0)</f>
        <v>7000</v>
      </c>
      <c r="I64" s="1"/>
      <c r="J64" s="5">
        <f t="shared" si="37"/>
        <v>0.16791000023987143</v>
      </c>
      <c r="K64" s="1"/>
      <c r="L64" s="1">
        <f t="shared" si="38"/>
        <v>-4500</v>
      </c>
      <c r="M64" s="1"/>
      <c r="N64" s="5">
        <f t="shared" si="39"/>
        <v>-0.6428571428571429</v>
      </c>
      <c r="O64" s="13"/>
      <c r="P64" s="1">
        <f>SUM(OSRRefP22_11x_0)</f>
        <v>44561.89</v>
      </c>
      <c r="Q64" s="1"/>
      <c r="R64" s="5">
        <f t="shared" si="40"/>
        <v>9.3312972591523866E-2</v>
      </c>
      <c r="S64" s="1"/>
      <c r="T64" s="1">
        <f>SUM(OSRRefT22_11x_0)</f>
        <v>70000</v>
      </c>
      <c r="U64" s="1"/>
      <c r="V64" s="5">
        <f t="shared" si="41"/>
        <v>0.13389543913878454</v>
      </c>
      <c r="W64" s="1"/>
      <c r="X64" s="1">
        <f t="shared" si="42"/>
        <v>-25438.11</v>
      </c>
      <c r="Y64" s="1"/>
      <c r="Z64" s="5">
        <f t="shared" si="43"/>
        <v>-0.36340157142857143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36"/>
        <v>0</v>
      </c>
      <c r="G65" s="2"/>
      <c r="H65" s="7">
        <v>7000</v>
      </c>
      <c r="I65" s="2"/>
      <c r="J65" s="6">
        <f t="shared" si="37"/>
        <v>0.16791000023987143</v>
      </c>
      <c r="K65" s="2"/>
      <c r="L65" s="7">
        <f t="shared" si="38"/>
        <v>-7000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70000</v>
      </c>
      <c r="U65" s="2"/>
      <c r="V65" s="6">
        <f t="shared" si="41"/>
        <v>0.13389543913878454</v>
      </c>
      <c r="W65" s="2"/>
      <c r="X65" s="7">
        <f t="shared" si="42"/>
        <v>-70000</v>
      </c>
      <c r="Y65" s="2"/>
      <c r="Z65" s="6">
        <f t="shared" si="43"/>
        <v>-1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>
        <v>2500</v>
      </c>
      <c r="E66" s="2"/>
      <c r="F66" s="6">
        <f t="shared" si="36"/>
        <v>7.4241254380234004E-2</v>
      </c>
      <c r="G66" s="2"/>
      <c r="H66" s="7"/>
      <c r="I66" s="2"/>
      <c r="J66" s="6">
        <f t="shared" si="37"/>
        <v>0</v>
      </c>
      <c r="K66" s="2"/>
      <c r="L66" s="7">
        <f t="shared" si="38"/>
        <v>2500</v>
      </c>
      <c r="M66" s="2"/>
      <c r="N66" s="6">
        <f t="shared" si="39"/>
        <v>0</v>
      </c>
      <c r="O66" s="11"/>
      <c r="P66" s="7">
        <v>44561.89</v>
      </c>
      <c r="Q66" s="2"/>
      <c r="R66" s="6">
        <f t="shared" si="40"/>
        <v>9.3312972591523866E-2</v>
      </c>
      <c r="S66" s="2"/>
      <c r="T66" s="7"/>
      <c r="U66" s="2"/>
      <c r="V66" s="6">
        <f t="shared" si="41"/>
        <v>0</v>
      </c>
      <c r="W66" s="2"/>
      <c r="X66" s="7">
        <f t="shared" si="42"/>
        <v>44561.89</v>
      </c>
      <c r="Y66" s="2"/>
      <c r="Z66" s="6">
        <f t="shared" si="43"/>
        <v>0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87.1</v>
      </c>
      <c r="E67" s="1"/>
      <c r="F67" s="5">
        <f t="shared" ref="F67:F70" si="44">IF(D$12=0,0,D67/D$12)</f>
        <v>2.5865653026073527E-3</v>
      </c>
      <c r="G67" s="1"/>
      <c r="H67" s="1">
        <f>SUM(OSRRefH22_12x_0)</f>
        <v>700</v>
      </c>
      <c r="I67" s="1"/>
      <c r="J67" s="5">
        <f t="shared" ref="J67:J70" si="45">IF(H$12=0,0,H67/H$12)</f>
        <v>1.6791000023987143E-2</v>
      </c>
      <c r="K67" s="1"/>
      <c r="L67" s="1">
        <f t="shared" ref="L67:L70" si="46">+D67-H67</f>
        <v>-612.9</v>
      </c>
      <c r="M67" s="1"/>
      <c r="N67" s="5">
        <f t="shared" ref="N67:N70" si="47">IF(H67=0,0,L67/H67)</f>
        <v>-0.87557142857142856</v>
      </c>
      <c r="O67" s="13"/>
      <c r="P67" s="1">
        <f>SUM(OSRRefP22_12x_0)</f>
        <v>1798.93</v>
      </c>
      <c r="Q67" s="1"/>
      <c r="R67" s="5">
        <f t="shared" ref="R67:R70" si="48">IF(P$12=0,0,P67/P$12)</f>
        <v>3.7669745557037649E-3</v>
      </c>
      <c r="S67" s="1"/>
      <c r="T67" s="1">
        <f>SUM(OSRRefT22_12x_0)</f>
        <v>7000</v>
      </c>
      <c r="U67" s="1"/>
      <c r="V67" s="5">
        <f t="shared" ref="V67:V70" si="49">IF(T$12=0,0,T67/T$12)</f>
        <v>1.3389543913878454E-2</v>
      </c>
      <c r="W67" s="1"/>
      <c r="X67" s="1">
        <f t="shared" ref="X67:X70" si="50">+P67-T67</f>
        <v>-5201.07</v>
      </c>
      <c r="Y67" s="1"/>
      <c r="Z67" s="5">
        <f t="shared" ref="Z67:Z70" si="51">IF(T67=0,0,X67/T67)</f>
        <v>-0.74300999999999995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7">
        <v>87.1</v>
      </c>
      <c r="E68" s="2"/>
      <c r="F68" s="6">
        <f t="shared" si="44"/>
        <v>2.5865653026073527E-3</v>
      </c>
      <c r="G68" s="2"/>
      <c r="H68" s="7">
        <v>700</v>
      </c>
      <c r="I68" s="2"/>
      <c r="J68" s="6">
        <f t="shared" si="45"/>
        <v>1.6791000023987143E-2</v>
      </c>
      <c r="K68" s="2"/>
      <c r="L68" s="7">
        <f t="shared" si="46"/>
        <v>-612.9</v>
      </c>
      <c r="M68" s="2"/>
      <c r="N68" s="6">
        <f t="shared" si="47"/>
        <v>-0.87557142857142856</v>
      </c>
      <c r="O68" s="11"/>
      <c r="P68" s="7">
        <v>1798.93</v>
      </c>
      <c r="Q68" s="2"/>
      <c r="R68" s="6">
        <f t="shared" si="48"/>
        <v>3.7669745557037649E-3</v>
      </c>
      <c r="S68" s="2"/>
      <c r="T68" s="7">
        <v>7000</v>
      </c>
      <c r="U68" s="2"/>
      <c r="V68" s="6">
        <f t="shared" si="49"/>
        <v>1.3389543913878454E-2</v>
      </c>
      <c r="W68" s="2"/>
      <c r="X68" s="7">
        <f t="shared" si="50"/>
        <v>-5201.07</v>
      </c>
      <c r="Y68" s="2"/>
      <c r="Z68" s="6">
        <f t="shared" si="51"/>
        <v>-0.74300999999999995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1500</v>
      </c>
      <c r="I69" s="1"/>
      <c r="J69" s="5">
        <f t="shared" si="45"/>
        <v>3.5980714337115305E-2</v>
      </c>
      <c r="K69" s="1"/>
      <c r="L69" s="1">
        <f t="shared" si="46"/>
        <v>-1500</v>
      </c>
      <c r="M69" s="1"/>
      <c r="N69" s="5">
        <f t="shared" si="47"/>
        <v>-1</v>
      </c>
      <c r="O69" s="13"/>
      <c r="P69" s="1">
        <f>SUM(OSRRefP22_13x_0)</f>
        <v>0</v>
      </c>
      <c r="Q69" s="1"/>
      <c r="R69" s="5">
        <f t="shared" si="48"/>
        <v>0</v>
      </c>
      <c r="S69" s="1"/>
      <c r="T69" s="1">
        <f>SUM(OSRRefT22_13x_0)</f>
        <v>4500</v>
      </c>
      <c r="U69" s="1"/>
      <c r="V69" s="5">
        <f t="shared" si="49"/>
        <v>8.6075639446361492E-3</v>
      </c>
      <c r="W69" s="1"/>
      <c r="X69" s="1">
        <f t="shared" si="50"/>
        <v>-4500</v>
      </c>
      <c r="Y69" s="1"/>
      <c r="Z69" s="5">
        <f t="shared" si="51"/>
        <v>-1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>
        <v>1500</v>
      </c>
      <c r="I70" s="2"/>
      <c r="J70" s="6">
        <f t="shared" si="45"/>
        <v>3.5980714337115305E-2</v>
      </c>
      <c r="K70" s="2"/>
      <c r="L70" s="7">
        <f t="shared" si="46"/>
        <v>-1500</v>
      </c>
      <c r="M70" s="2"/>
      <c r="N70" s="6">
        <f t="shared" si="47"/>
        <v>-1</v>
      </c>
      <c r="O70" s="11"/>
      <c r="P70" s="7"/>
      <c r="Q70" s="2"/>
      <c r="R70" s="6">
        <f t="shared" si="48"/>
        <v>0</v>
      </c>
      <c r="S70" s="2"/>
      <c r="T70" s="7">
        <v>4500</v>
      </c>
      <c r="U70" s="2"/>
      <c r="V70" s="6">
        <f t="shared" si="49"/>
        <v>8.6075639446361492E-3</v>
      </c>
      <c r="W70" s="2"/>
      <c r="X70" s="7">
        <f t="shared" si="50"/>
        <v>-4500</v>
      </c>
      <c r="Y70" s="2"/>
      <c r="Z70" s="6">
        <f t="shared" si="51"/>
        <v>-1</v>
      </c>
    </row>
    <row r="71" spans="1:26" s="61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293</v>
      </c>
      <c r="C72" s="10"/>
      <c r="D72" s="4">
        <f>SUM(OSRRefD25x_0)</f>
        <v>221.44</v>
      </c>
      <c r="E72" s="4"/>
      <c r="F72" s="12">
        <f t="shared" ref="F72:F73" si="52">IF(D$12=0,0,D72/D$12)</f>
        <v>6.5759933479836077E-3</v>
      </c>
      <c r="G72" s="4"/>
      <c r="H72" s="4">
        <f>SUM(OSRRefH25x_0)</f>
        <v>3500</v>
      </c>
      <c r="I72" s="4"/>
      <c r="J72" s="12">
        <f t="shared" ref="J72:J73" si="53">IF(H$12=0,0,H72/H$12)</f>
        <v>8.3955000119935716E-2</v>
      </c>
      <c r="K72" s="4"/>
      <c r="L72" s="4">
        <f t="shared" ref="L72:L73" si="54">+D72-H72</f>
        <v>-3278.56</v>
      </c>
      <c r="M72" s="4"/>
      <c r="N72" s="12">
        <f t="shared" ref="N72:N73" si="55">IF(H72=0,0,L72/H72)</f>
        <v>-0.93673142857142855</v>
      </c>
      <c r="O72" s="10"/>
      <c r="P72" s="4">
        <f>SUM(OSRRefP25x_0)</f>
        <v>2160.12</v>
      </c>
      <c r="Q72" s="4"/>
      <c r="R72" s="12">
        <f t="shared" ref="R72:R73" si="56">IF(P$12=0,0,P72/P$12)</f>
        <v>4.5233094546573887E-3</v>
      </c>
      <c r="S72" s="4"/>
      <c r="T72" s="4">
        <f>SUM(OSRRefT25x_0)</f>
        <v>30150</v>
      </c>
      <c r="U72" s="4"/>
      <c r="V72" s="12">
        <f t="shared" ref="V72:V73" si="57">IF(T$12=0,0,T72/T$12)</f>
        <v>5.7670678429062198E-2</v>
      </c>
      <c r="W72" s="4"/>
      <c r="X72" s="4">
        <f t="shared" ref="X72:X73" si="58">+P72-T72</f>
        <v>-27989.88</v>
      </c>
      <c r="Y72" s="4"/>
      <c r="Z72" s="12">
        <f t="shared" ref="Z72:Z73" si="59">IF(T72=0,0,X72/T72)</f>
        <v>-0.92835422885572139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--221.44</f>
        <v>221.44</v>
      </c>
      <c r="E73" s="2"/>
      <c r="F73" s="19">
        <f t="shared" si="52"/>
        <v>6.5759933479836077E-3</v>
      </c>
      <c r="G73" s="2"/>
      <c r="H73" s="2">
        <v>3500</v>
      </c>
      <c r="I73" s="2"/>
      <c r="J73" s="19">
        <f t="shared" si="53"/>
        <v>8.3955000119935716E-2</v>
      </c>
      <c r="K73" s="2"/>
      <c r="L73" s="2">
        <f t="shared" si="54"/>
        <v>-3278.56</v>
      </c>
      <c r="M73" s="2"/>
      <c r="N73" s="19">
        <f t="shared" si="55"/>
        <v>-0.93673142857142855</v>
      </c>
      <c r="O73" s="11"/>
      <c r="P73" s="2">
        <f>--2160.12</f>
        <v>2160.12</v>
      </c>
      <c r="Q73" s="2"/>
      <c r="R73" s="19">
        <f t="shared" si="56"/>
        <v>4.5233094546573887E-3</v>
      </c>
      <c r="S73" s="2"/>
      <c r="T73" s="2">
        <v>30150</v>
      </c>
      <c r="U73" s="2"/>
      <c r="V73" s="19">
        <f t="shared" si="57"/>
        <v>5.7670678429062198E-2</v>
      </c>
      <c r="W73" s="2"/>
      <c r="X73" s="2">
        <f t="shared" si="58"/>
        <v>-27989.88</v>
      </c>
      <c r="Y73" s="2"/>
      <c r="Z73" s="19">
        <f t="shared" si="59"/>
        <v>-0.92835422885572139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277</v>
      </c>
      <c r="C75" s="28"/>
      <c r="D75" s="21">
        <f>+D17-D19+D72</f>
        <v>13799.160000000005</v>
      </c>
      <c r="E75" s="14"/>
      <c r="F75" s="20">
        <f>IF(D$12=0,0,D75/D$12)</f>
        <v>0.40978677911742012</v>
      </c>
      <c r="G75" s="14"/>
      <c r="H75" s="21">
        <f>+H17-H19+H72</f>
        <v>6259.0455514807691</v>
      </c>
      <c r="I75" s="14"/>
      <c r="J75" s="20">
        <f>IF(H$12=0,0,H75/H$12)</f>
        <v>0.15013662000721459</v>
      </c>
      <c r="K75" s="16"/>
      <c r="L75" s="21">
        <f>+D75-H75</f>
        <v>7540.1144485192362</v>
      </c>
      <c r="M75" s="16"/>
      <c r="N75" s="20">
        <f>IF(H75=0,0,L75/H75)</f>
        <v>1.2046748000955818</v>
      </c>
      <c r="O75" s="29"/>
      <c r="P75" s="21">
        <f>+P17-P19+P72</f>
        <v>91479.82</v>
      </c>
      <c r="Q75" s="14"/>
      <c r="R75" s="20">
        <f>IF(P$12=0,0,P75/P$12)</f>
        <v>0.19155951276612232</v>
      </c>
      <c r="S75" s="14"/>
      <c r="T75" s="21">
        <f>+T17-T19+T72</f>
        <v>79110.247248080675</v>
      </c>
      <c r="U75" s="14"/>
      <c r="V75" s="20">
        <f>IF(T$12=0,0,T75/T$12)</f>
        <v>0.15132144708085118</v>
      </c>
      <c r="W75" s="16"/>
      <c r="X75" s="21">
        <f>+P75-T75</f>
        <v>12369.572751919331</v>
      </c>
      <c r="Y75" s="16"/>
      <c r="Z75" s="20">
        <f>IF(T75=0,0,X75/T75)</f>
        <v>0.15635866631954479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128</v>
      </c>
      <c r="C77" s="10"/>
      <c r="D77" s="4">
        <v>8426.34</v>
      </c>
      <c r="E77" s="4"/>
      <c r="F77" s="12">
        <f>IF(D$12=0,0,D77/D$12)</f>
        <v>0.25023282057373641</v>
      </c>
      <c r="G77" s="4"/>
      <c r="H77" s="4">
        <v>9624</v>
      </c>
      <c r="I77" s="4"/>
      <c r="J77" s="12">
        <f>IF(H$12=0,0,H77/H$12)</f>
        <v>0.23085226318693181</v>
      </c>
      <c r="K77" s="4"/>
      <c r="L77" s="4">
        <f>+D77-H77</f>
        <v>-1197.6599999999999</v>
      </c>
      <c r="M77" s="4"/>
      <c r="N77" s="12">
        <f>IF(H77=0,0,L77/H77)</f>
        <v>-0.12444513715710721</v>
      </c>
      <c r="O77" s="10"/>
      <c r="P77" s="4">
        <v>99906.03</v>
      </c>
      <c r="Q77" s="4"/>
      <c r="R77" s="12">
        <f>IF(P$12=0,0,P77/P$12)</f>
        <v>0.20920406740194281</v>
      </c>
      <c r="S77" s="4"/>
      <c r="T77" s="4">
        <v>94704</v>
      </c>
      <c r="U77" s="4"/>
      <c r="V77" s="12">
        <f>IF(T$12=0,0,T77/T$12)</f>
        <v>0.18114905240284929</v>
      </c>
      <c r="W77" s="4"/>
      <c r="X77" s="4">
        <f>+P77-T77</f>
        <v>5202.0299999999988</v>
      </c>
      <c r="Y77" s="4"/>
      <c r="Z77" s="12">
        <f>IF(T77=0,0,X77/T77)</f>
        <v>5.4929358844399381E-2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126</v>
      </c>
      <c r="C79" s="28"/>
      <c r="D79" s="31">
        <f>+D75-D77</f>
        <v>5372.8200000000052</v>
      </c>
      <c r="E79" s="14"/>
      <c r="F79" s="33">
        <f>IF(D$12=0,0,D79/D$12)</f>
        <v>0.1595539585436837</v>
      </c>
      <c r="G79" s="14"/>
      <c r="H79" s="31">
        <f>+H75-H77</f>
        <v>-3364.9544485192309</v>
      </c>
      <c r="I79" s="14"/>
      <c r="J79" s="33">
        <f>IF(H$12=0,0,H79/H$12)</f>
        <v>-8.0715643179717217E-2</v>
      </c>
      <c r="K79" s="16"/>
      <c r="L79" s="31">
        <f>D79-H79</f>
        <v>8737.7744485192361</v>
      </c>
      <c r="M79" s="16"/>
      <c r="N79" s="33">
        <f>IF(H79=0,0,L79/H79)</f>
        <v>-2.5966991774180919</v>
      </c>
      <c r="O79" s="29"/>
      <c r="P79" s="31">
        <f>+P75-P77</f>
        <v>-8426.2099999999919</v>
      </c>
      <c r="Q79" s="14"/>
      <c r="R79" s="33">
        <f>IF(P$12=0,0,P79/P$12)</f>
        <v>-1.7644554635820511E-2</v>
      </c>
      <c r="S79" s="14"/>
      <c r="T79" s="31">
        <f>+T75-T77</f>
        <v>-15593.752751919325</v>
      </c>
      <c r="U79" s="14"/>
      <c r="V79" s="33">
        <f>IF(T$12=0,0,T79/T$12)</f>
        <v>-2.9827605321998112E-2</v>
      </c>
      <c r="W79" s="16"/>
      <c r="X79" s="31">
        <f>P79-T79</f>
        <v>7167.5427519193327</v>
      </c>
      <c r="Y79" s="16"/>
      <c r="Z79" s="33">
        <f>IF(T79=0,0,X79/T79)</f>
        <v>-0.45964193904749007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294</v>
      </c>
      <c r="C82" s="28"/>
      <c r="D82" s="34">
        <f>SUM(D79:D81)</f>
        <v>5372.8200000000052</v>
      </c>
      <c r="E82" s="14"/>
      <c r="F82" s="35">
        <f>IF(D$12=0,0,D82/D$12)</f>
        <v>0.1595539585436837</v>
      </c>
      <c r="G82" s="14"/>
      <c r="H82" s="34">
        <f>SUM(H79:H81)</f>
        <v>-3364.9544485192309</v>
      </c>
      <c r="I82" s="14"/>
      <c r="J82" s="35">
        <f>IF(H$12=0,0,H82/H$12)</f>
        <v>-8.0715643179717217E-2</v>
      </c>
      <c r="K82" s="16"/>
      <c r="L82" s="34">
        <f>+D82-H82</f>
        <v>8737.7744485192361</v>
      </c>
      <c r="M82" s="16"/>
      <c r="N82" s="35">
        <f>IF(H82=0,0,L82/H82)</f>
        <v>-2.5966991774180919</v>
      </c>
      <c r="O82" s="29"/>
      <c r="P82" s="34">
        <f>SUM(P79:P81)</f>
        <v>-8426.2099999999919</v>
      </c>
      <c r="Q82" s="14"/>
      <c r="R82" s="35">
        <f>IF(P$12=0,0,P82/P$12)</f>
        <v>-1.7644554635820511E-2</v>
      </c>
      <c r="S82" s="14"/>
      <c r="T82" s="34">
        <f>SUM(T79:T81)</f>
        <v>-15593.752751919325</v>
      </c>
      <c r="U82" s="14"/>
      <c r="V82" s="35">
        <f>IF(T$12=0,0,T82/T$12)</f>
        <v>-2.9827605321998112E-2</v>
      </c>
      <c r="W82" s="16"/>
      <c r="X82" s="34">
        <f>+P82-T82</f>
        <v>7167.5427519193327</v>
      </c>
      <c r="Y82" s="16"/>
      <c r="Z82" s="35">
        <f>IF(T82=0,0,X82/T82)</f>
        <v>-0.45964193904749007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2">
        <v>44330.0058283912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5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23</v>
      </c>
    </row>
    <row r="3" spans="1:26" x14ac:dyDescent="0.25">
      <c r="D3" s="58" t="s">
        <v>237</v>
      </c>
      <c r="E3" s="17"/>
      <c r="F3" s="51"/>
      <c r="G3" s="17"/>
      <c r="H3" s="17"/>
      <c r="I3" s="17"/>
      <c r="J3" s="38"/>
      <c r="K3" s="17"/>
      <c r="L3" s="17"/>
      <c r="M3" s="17"/>
      <c r="N3" s="51"/>
      <c r="O3" s="59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8"/>
      <c r="K4" s="17"/>
      <c r="L4" s="17"/>
      <c r="M4" s="17"/>
      <c r="N4" s="51"/>
      <c r="O4" s="59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8"/>
      <c r="K5" s="17"/>
      <c r="L5" s="17"/>
      <c r="M5" s="17"/>
      <c r="N5" s="51"/>
      <c r="O5" s="59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1"/>
      <c r="G6" s="17"/>
      <c r="H6" s="17"/>
      <c r="I6" s="17"/>
      <c r="J6" s="38"/>
      <c r="K6" s="17"/>
      <c r="L6" s="17"/>
      <c r="M6" s="17"/>
      <c r="N6" s="51"/>
      <c r="O6" s="53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60"/>
      <c r="C10" s="10"/>
      <c r="D10" s="42" t="s">
        <v>57</v>
      </c>
      <c r="E10" s="30"/>
      <c r="F10" s="40" t="s">
        <v>40</v>
      </c>
      <c r="G10" s="30"/>
      <c r="H10" s="45" t="s">
        <v>238</v>
      </c>
      <c r="I10" s="30"/>
      <c r="J10" s="49" t="s">
        <v>58</v>
      </c>
      <c r="K10" s="10"/>
      <c r="L10" s="42" t="s">
        <v>127</v>
      </c>
      <c r="M10" s="10"/>
      <c r="N10" s="40" t="s">
        <v>258</v>
      </c>
      <c r="O10" s="10"/>
      <c r="P10" s="57" t="s">
        <v>57</v>
      </c>
      <c r="Q10" s="30"/>
      <c r="R10" s="40" t="s">
        <v>40</v>
      </c>
      <c r="S10" s="30"/>
      <c r="T10" s="45" t="s">
        <v>238</v>
      </c>
      <c r="U10" s="30"/>
      <c r="V10" s="49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6"/>
      <c r="L36" s="34" t="e">
        <f ca="1">+D36-H36</f>
        <v>#NAME?</v>
      </c>
      <c r="M36" s="16"/>
      <c r="N36" s="35" t="e">
        <f ca="1">IF(H36=0,0,L36/H36)</f>
        <v>#NAME?</v>
      </c>
      <c r="O36" s="29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6"/>
      <c r="X36" s="34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ECEC4B-AD8B-4DC5-9F81-733F806389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A6308B-B01F-486D-85A1-AF40105002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8EE9E0-585C-4462-9403-3286B7F886A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4076</vt:i4>
      </vt:variant>
    </vt:vector>
  </HeadingPairs>
  <TitlesOfParts>
    <vt:vector size="4174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'317'!OSRRefD22_13x_0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'444'!OSRRefD22_17x_0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'317'!OSRRefH22_13x_0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'444'!OSRRefH22_17x_0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'317'!OSRRefP22_13x_0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'444'!OSRRefP22_17x_0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'317'!OSRRefT22_13x_0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'444'!OSRRefT22_17x_0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2021-05-14T00:11:45Z</dcterms:created>
  <dcterms:modified xsi:type="dcterms:W3CDTF">2021-05-14T00:43:08Z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